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/Users/vaughanjones/Documents/File/Excels/"/>
    </mc:Choice>
  </mc:AlternateContent>
  <bookViews>
    <workbookView xWindow="700" yWindow="460" windowWidth="31300" windowHeight="17540" tabRatio="500"/>
  </bookViews>
  <sheets>
    <sheet name="Fertiliser &amp; Effluent Values.xl" sheetId="1" r:id="rId1"/>
  </sheets>
  <definedNames>
    <definedName name="_xlnm.Print_Area" localSheetId="0">'Fertiliser &amp; Effluent Values.xl'!$A$1:$AB$33</definedName>
  </definedNames>
  <calcPr calcId="150001" iterateCount="0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7" i="1" l="1"/>
  <c r="S6" i="1"/>
  <c r="S58" i="1"/>
  <c r="R6" i="1"/>
  <c r="C18" i="1"/>
  <c r="C16" i="1"/>
  <c r="C12" i="1"/>
  <c r="C10" i="1"/>
  <c r="C8" i="1"/>
  <c r="E6" i="1"/>
  <c r="E11" i="1"/>
  <c r="H6" i="1"/>
  <c r="H11" i="1"/>
  <c r="D11" i="1"/>
  <c r="B11" i="1"/>
  <c r="F6" i="1"/>
  <c r="F13" i="1"/>
  <c r="G6" i="1"/>
  <c r="G13" i="1"/>
  <c r="H13" i="1"/>
  <c r="I6" i="1"/>
  <c r="I13" i="1"/>
  <c r="D48" i="1"/>
  <c r="J6" i="1"/>
  <c r="J13" i="1"/>
  <c r="R13" i="1"/>
  <c r="D13" i="1"/>
  <c r="B13" i="1"/>
  <c r="R15" i="1"/>
  <c r="F17" i="1"/>
  <c r="G17" i="1"/>
  <c r="H17" i="1"/>
  <c r="I17" i="1"/>
  <c r="J17" i="1"/>
  <c r="R17" i="1"/>
  <c r="D17" i="1"/>
  <c r="B17" i="1"/>
  <c r="F25" i="1"/>
  <c r="H25" i="1"/>
  <c r="D25" i="1"/>
  <c r="B25" i="1"/>
  <c r="E27" i="1"/>
  <c r="F27" i="1"/>
  <c r="H27" i="1"/>
  <c r="D27" i="1"/>
  <c r="B27" i="1"/>
  <c r="T6" i="1"/>
  <c r="E58" i="1"/>
  <c r="F58" i="1"/>
  <c r="G58" i="1"/>
  <c r="H58" i="1"/>
  <c r="I58" i="1"/>
  <c r="J58" i="1"/>
  <c r="L6" i="1"/>
  <c r="L58" i="1"/>
  <c r="N6" i="1"/>
  <c r="N58" i="1"/>
  <c r="D58" i="1"/>
  <c r="B58" i="1"/>
  <c r="E102" i="1"/>
  <c r="H102" i="1"/>
  <c r="L101" i="1"/>
  <c r="L102" i="1"/>
  <c r="M101" i="1"/>
  <c r="M6" i="1"/>
  <c r="M102" i="1"/>
  <c r="N101" i="1"/>
  <c r="N102" i="1"/>
  <c r="R101" i="1"/>
  <c r="R102" i="1"/>
  <c r="T101" i="1"/>
  <c r="T102" i="1"/>
  <c r="D102" i="1"/>
  <c r="B102" i="1"/>
  <c r="K100" i="1"/>
  <c r="F100" i="1"/>
  <c r="G100" i="1"/>
  <c r="H100" i="1"/>
  <c r="I100" i="1"/>
  <c r="D100" i="1"/>
  <c r="B100" i="1"/>
  <c r="F98" i="1"/>
  <c r="G98" i="1"/>
  <c r="H98" i="1"/>
  <c r="I98" i="1"/>
  <c r="J98" i="1"/>
  <c r="D98" i="1"/>
  <c r="B98" i="1"/>
  <c r="E96" i="1"/>
  <c r="F96" i="1"/>
  <c r="G96" i="1"/>
  <c r="D96" i="1"/>
  <c r="B96" i="1"/>
  <c r="F94" i="1"/>
  <c r="G94" i="1"/>
  <c r="D94" i="1"/>
  <c r="B94" i="1"/>
  <c r="D92" i="1"/>
  <c r="B92" i="1"/>
  <c r="E90" i="1"/>
  <c r="F90" i="1"/>
  <c r="G90" i="1"/>
  <c r="D90" i="1"/>
  <c r="B90" i="1"/>
  <c r="E88" i="1"/>
  <c r="F88" i="1"/>
  <c r="G88" i="1"/>
  <c r="D88" i="1"/>
  <c r="B88" i="1"/>
  <c r="E86" i="1"/>
  <c r="F86" i="1"/>
  <c r="G86" i="1"/>
  <c r="H86" i="1"/>
  <c r="I86" i="1"/>
  <c r="J86" i="1"/>
  <c r="L86" i="1"/>
  <c r="M86" i="1"/>
  <c r="N86" i="1"/>
  <c r="O6" i="1"/>
  <c r="O86" i="1"/>
  <c r="R86" i="1"/>
  <c r="S86" i="1"/>
  <c r="D86" i="1"/>
  <c r="B86" i="1"/>
  <c r="E84" i="1"/>
  <c r="F84" i="1"/>
  <c r="G84" i="1"/>
  <c r="H84" i="1"/>
  <c r="I84" i="1"/>
  <c r="J84" i="1"/>
  <c r="L84" i="1"/>
  <c r="M84" i="1"/>
  <c r="N84" i="1"/>
  <c r="O84" i="1"/>
  <c r="R84" i="1"/>
  <c r="S84" i="1"/>
  <c r="D84" i="1"/>
  <c r="B84" i="1"/>
  <c r="D80" i="1"/>
  <c r="B80" i="1"/>
  <c r="T78" i="1"/>
  <c r="D78" i="1"/>
  <c r="B78" i="1"/>
  <c r="S76" i="1"/>
  <c r="D76" i="1"/>
  <c r="B76" i="1"/>
  <c r="R74" i="1"/>
  <c r="D74" i="1"/>
  <c r="B74" i="1"/>
  <c r="O72" i="1"/>
  <c r="D72" i="1"/>
  <c r="B72" i="1"/>
  <c r="N70" i="1"/>
  <c r="D70" i="1"/>
  <c r="B70" i="1"/>
  <c r="M68" i="1"/>
  <c r="D68" i="1"/>
  <c r="B68" i="1"/>
  <c r="L66" i="1"/>
  <c r="D66" i="1"/>
  <c r="B66" i="1"/>
  <c r="E64" i="1"/>
  <c r="F64" i="1"/>
  <c r="G64" i="1"/>
  <c r="D64" i="1"/>
  <c r="B64" i="1"/>
  <c r="E62" i="1"/>
  <c r="F62" i="1"/>
  <c r="G62" i="1"/>
  <c r="D62" i="1"/>
  <c r="B62" i="1"/>
  <c r="E60" i="1"/>
  <c r="F60" i="1"/>
  <c r="G60" i="1"/>
  <c r="H60" i="1"/>
  <c r="I60" i="1"/>
  <c r="J60" i="1"/>
  <c r="D60" i="1"/>
  <c r="B60" i="1"/>
  <c r="E56" i="1"/>
  <c r="F56" i="1"/>
  <c r="G56" i="1"/>
  <c r="D56" i="1"/>
  <c r="B56" i="1"/>
  <c r="E54" i="1"/>
  <c r="F54" i="1"/>
  <c r="G54" i="1"/>
  <c r="H53" i="1"/>
  <c r="H54" i="1"/>
  <c r="D54" i="1"/>
  <c r="B54" i="1"/>
  <c r="E51" i="1"/>
  <c r="F51" i="1"/>
  <c r="G51" i="1"/>
  <c r="H50" i="1"/>
  <c r="H51" i="1"/>
  <c r="J51" i="1"/>
  <c r="D51" i="1"/>
  <c r="B51" i="1"/>
  <c r="I49" i="1"/>
  <c r="J49" i="1"/>
  <c r="D49" i="1"/>
  <c r="B49" i="1"/>
  <c r="I47" i="1"/>
  <c r="J47" i="1"/>
  <c r="D47" i="1"/>
  <c r="B47" i="1"/>
  <c r="I45" i="1"/>
  <c r="J45" i="1"/>
  <c r="D45" i="1"/>
  <c r="B45" i="1"/>
  <c r="D43" i="1"/>
  <c r="B43" i="1"/>
  <c r="I41" i="1"/>
  <c r="D41" i="1"/>
  <c r="B41" i="1"/>
  <c r="H39" i="1"/>
  <c r="J39" i="1"/>
  <c r="D39" i="1"/>
  <c r="B39" i="1"/>
  <c r="H37" i="1"/>
  <c r="D37" i="1"/>
  <c r="B37" i="1"/>
  <c r="G35" i="1"/>
  <c r="D35" i="1"/>
  <c r="B35" i="1"/>
  <c r="F33" i="1"/>
  <c r="G33" i="1"/>
  <c r="H33" i="1"/>
  <c r="D33" i="1"/>
  <c r="B33" i="1"/>
  <c r="E31" i="1"/>
  <c r="F31" i="1"/>
  <c r="G31" i="1"/>
  <c r="H31" i="1"/>
  <c r="D31" i="1"/>
  <c r="B31" i="1"/>
  <c r="E29" i="1"/>
  <c r="F29" i="1"/>
  <c r="D29" i="1"/>
  <c r="B29" i="1"/>
  <c r="F23" i="1"/>
  <c r="H23" i="1"/>
  <c r="D23" i="1"/>
  <c r="B23" i="1"/>
  <c r="F21" i="1"/>
  <c r="H21" i="1"/>
  <c r="J21" i="1"/>
  <c r="D21" i="1"/>
  <c r="B21" i="1"/>
  <c r="F19" i="1"/>
  <c r="H19" i="1"/>
  <c r="D19" i="1"/>
  <c r="B19" i="1"/>
  <c r="R82" i="1"/>
  <c r="E82" i="1"/>
  <c r="F82" i="1"/>
  <c r="G82" i="1"/>
  <c r="H82" i="1"/>
  <c r="I82" i="1"/>
  <c r="J82" i="1"/>
  <c r="L82" i="1"/>
  <c r="M82" i="1"/>
  <c r="N82" i="1"/>
  <c r="O82" i="1"/>
  <c r="S82" i="1"/>
  <c r="D82" i="1"/>
  <c r="E9" i="1"/>
  <c r="D9" i="1"/>
  <c r="D30" i="1"/>
  <c r="D38" i="1"/>
  <c r="D42" i="1"/>
  <c r="D44" i="1"/>
  <c r="E52" i="1"/>
  <c r="F52" i="1"/>
  <c r="G52" i="1"/>
  <c r="H52" i="1"/>
  <c r="J52" i="1"/>
  <c r="D52" i="1"/>
  <c r="L52" i="1"/>
  <c r="L53" i="1"/>
  <c r="M53" i="1"/>
  <c r="N53" i="1"/>
  <c r="O53" i="1"/>
  <c r="P53" i="1"/>
  <c r="Q53" i="1"/>
  <c r="D63" i="1"/>
  <c r="U98" i="1"/>
  <c r="M100" i="1"/>
  <c r="N100" i="1"/>
  <c r="D101" i="1"/>
</calcChain>
</file>

<file path=xl/sharedStrings.xml><?xml version="1.0" encoding="utf-8"?>
<sst xmlns="http://schemas.openxmlformats.org/spreadsheetml/2006/main" count="376" uniqueCount="222">
  <si>
    <t>The P values don't allow for the value of other ingedients, the Total Value/tonne does.</t>
  </si>
  <si>
    <t xml:space="preserve">Makes pasture unpalatable to animals </t>
    <phoneticPr fontId="2" type="noConversion"/>
  </si>
  <si>
    <t>Fertiliser type</t>
    <phoneticPr fontId="2" type="noConversion"/>
  </si>
  <si>
    <t>North Carolina Reactive Phosphate is not recommended because of its high cadmium levels. It is no longer available in New Zealand.</t>
    <phoneticPr fontId="2" type="noConversion"/>
  </si>
  <si>
    <t>Takes more than 12 mm of rain to wash slag off leaves because it sticks to them.</t>
  </si>
  <si>
    <t>Glenbrook Slag</t>
  </si>
  <si>
    <t>Toxic &amp; unwanted</t>
  </si>
  <si>
    <t xml:space="preserve">Sechura Peru RP 38% soluble in 2% citric acid. 13% P. RP is reactive phosphate powder. </t>
    <phoneticPr fontId="2" type="noConversion"/>
  </si>
  <si>
    <t xml:space="preserve">Gafsa Tunisia RP 40% soluble in 2% citric acid. 13% P. RP is reactive phosphate powder. </t>
    <phoneticPr fontId="2" type="noConversion"/>
  </si>
  <si>
    <t>Triple Super  90% soublel in 2% citric acid</t>
    <phoneticPr fontId="2" type="noConversion"/>
  </si>
  <si>
    <t>$19</t>
  </si>
  <si>
    <t>Granmag (30% Mg, 6% S)</t>
  </si>
  <si>
    <t>CaCO2</t>
    <phoneticPr fontId="2" type="noConversion"/>
  </si>
  <si>
    <t>Values are based on lowest cost elements.</t>
    <phoneticPr fontId="2" type="noConversion"/>
  </si>
  <si>
    <t>Delivery cost used</t>
    <phoneticPr fontId="2" type="noConversion"/>
  </si>
  <si>
    <t>per tonne</t>
    <phoneticPr fontId="2" type="noConversion"/>
  </si>
  <si>
    <t>It has an uncomplicated design with fewer moving parts than ratchet irrigators.</t>
  </si>
  <si>
    <t>S</t>
  </si>
  <si>
    <t>Mg</t>
  </si>
  <si>
    <t>Gravity can operate Ecostreams because they require such low pressure (12 psi).</t>
  </si>
  <si>
    <t>Horse dung dry</t>
  </si>
  <si>
    <t>day (the first milked are in for only minutes) so the totals have to be divided by 12 to give the per day figure. This equals about NZ$4</t>
  </si>
  <si>
    <t>15% Potassic Super</t>
  </si>
  <si>
    <t xml:space="preserve">Enter your spreading cost in column C and delivered cost/tonne of fertilisers you can get in column D. </t>
  </si>
  <si>
    <t>Costs/tonne</t>
  </si>
  <si>
    <t>2.46 of CaCo2 = 1 of Ca.</t>
  </si>
  <si>
    <t xml:space="preserve">Mn is of </t>
  </si>
  <si>
    <t xml:space="preserve">Mo is of </t>
  </si>
  <si>
    <r>
      <t>Dolomite</t>
    </r>
    <r>
      <rPr>
        <sz val="14"/>
        <color indexed="53"/>
        <rFont val="Times New Roman"/>
      </rPr>
      <t xml:space="preserve"> </t>
    </r>
    <phoneticPr fontId="2" type="noConversion"/>
  </si>
  <si>
    <t>Single Superphosphate  90% soluble in 2% citric acid</t>
    <phoneticPr fontId="2" type="noConversion"/>
  </si>
  <si>
    <t>Value is based on lowest cost of elements</t>
    <phoneticPr fontId="2" type="noConversion"/>
  </si>
  <si>
    <t>See column A for full descriptions of these&gt;</t>
    <phoneticPr fontId="2" type="noConversion"/>
  </si>
  <si>
    <t>2.46 of CaCo3 = 1 of Calcium</t>
    <phoneticPr fontId="2" type="noConversion"/>
  </si>
  <si>
    <t>V1.2</t>
    <phoneticPr fontId="2" type="noConversion"/>
  </si>
  <si>
    <t xml:space="preserve">Cadmium builds up in soils and animal fat. See Elements &gt; Cadmium. </t>
    <phoneticPr fontId="2" type="noConversion"/>
  </si>
  <si>
    <t>NZ farms.</t>
    <phoneticPr fontId="2" type="noConversion"/>
  </si>
  <si>
    <t>NZ farms.</t>
    <phoneticPr fontId="2" type="noConversion"/>
  </si>
  <si>
    <t xml:space="preserve">Shifting to the next paddock takes about 20 minutes per irrigator with an ATV. </t>
  </si>
  <si>
    <t>Urea</t>
  </si>
  <si>
    <t>Gafsa</t>
  </si>
  <si>
    <t>MoP</t>
  </si>
  <si>
    <t>Durasul</t>
  </si>
  <si>
    <t>Serpentine</t>
  </si>
  <si>
    <t>Ulexite</t>
  </si>
  <si>
    <t>Cob Su</t>
  </si>
  <si>
    <t>Cop Su</t>
  </si>
  <si>
    <t>$4</t>
  </si>
  <si>
    <t>$810</t>
  </si>
  <si>
    <t>Calcium</t>
  </si>
  <si>
    <t>Fraction</t>
  </si>
  <si>
    <t>$0</t>
  </si>
  <si>
    <t>$17</t>
  </si>
  <si>
    <t>Sulphur</t>
  </si>
  <si>
    <t>$92</t>
  </si>
  <si>
    <t xml:space="preserve">Boron </t>
  </si>
  <si>
    <t xml:space="preserve">Don’t type over blue cells. They contain formulae. </t>
  </si>
  <si>
    <t>Urine</t>
  </si>
  <si>
    <t>/day</t>
  </si>
  <si>
    <t>NZ$</t>
  </si>
  <si>
    <t>N</t>
  </si>
  <si>
    <t>$0.50</t>
  </si>
  <si>
    <t xml:space="preserve">Diamonium Phosphate (DAP) </t>
  </si>
  <si>
    <t>P</t>
  </si>
  <si>
    <t>0%</t>
  </si>
  <si>
    <t>$0.10</t>
  </si>
  <si>
    <t>$0.88</t>
  </si>
  <si>
    <t>Top producing dairy farms have applied about 100 kg of P/ha for decades, and top beef about 60. Taranaki trials show 100 kg P/ha grows the cheapest pasture</t>
    <phoneticPr fontId="2" type="noConversion"/>
  </si>
  <si>
    <t>Potassium Iodate</t>
  </si>
  <si>
    <t>Salt Coarse Ag. Value is $200 x 2.7 = Na</t>
  </si>
  <si>
    <t>Zinc sulphate Mono (35% Zn)</t>
  </si>
  <si>
    <t>Selcote Ultra slow release (1% Se)</t>
  </si>
  <si>
    <t>Sodium Molybdate</t>
  </si>
  <si>
    <t xml:space="preserve">Fe is of </t>
  </si>
  <si>
    <t>Value based on lowest cost of elements</t>
  </si>
  <si>
    <t>Be careful of this because of pollutants.</t>
  </si>
  <si>
    <t>Iron carbonate</t>
  </si>
  <si>
    <t>Wood Ash</t>
  </si>
  <si>
    <t>Kelp Seaweed</t>
  </si>
  <si>
    <t>Slagphos</t>
  </si>
  <si>
    <t>Durasul 100% Elemental S Slow release</t>
  </si>
  <si>
    <t>Nitrogen</t>
  </si>
  <si>
    <t>$0.03</t>
  </si>
  <si>
    <t xml:space="preserve"> can cover one ha/day or 9 ha (23 acres) in nine days before returning. </t>
  </si>
  <si>
    <t>Sheep manure dry</t>
  </si>
  <si>
    <t>Nitrosol (dilute 200/1)</t>
  </si>
  <si>
    <t>Boron - Ulexite slow release (11% boron)</t>
  </si>
  <si>
    <t>Cobalt Sulphate (21% Co)</t>
  </si>
  <si>
    <t>Copper Hydroxide lump free (24% Cu)</t>
  </si>
  <si>
    <t>Costs/kg &amp;/tonne</t>
    <phoneticPr fontId="2" type="noConversion"/>
  </si>
  <si>
    <t>in this column</t>
  </si>
  <si>
    <t>2.46 of CaCo3 = 1 of Ca.</t>
  </si>
  <si>
    <t>Little sweetening value because with acid</t>
  </si>
  <si>
    <t>Super Plus</t>
  </si>
  <si>
    <t>Element Location, Quantity &amp; Value in Fresh Dung &amp; Urine</t>
  </si>
  <si>
    <t>kg/cow</t>
  </si>
  <si>
    <t>Anchor Dairy</t>
  </si>
  <si>
    <t>Element</t>
  </si>
  <si>
    <t>%</t>
  </si>
  <si>
    <t xml:space="preserve">Dung </t>
  </si>
  <si>
    <t xml:space="preserve">High analysis fertilisers cost less to cart &amp; spread per kg of P. Crop mixes are usually bad value. Even a BoP Co-op rep wrote so in the Exporter. </t>
  </si>
  <si>
    <t>Te Kuiti Trial Results 1995</t>
  </si>
  <si>
    <t>Rorison LimeMag 6</t>
  </si>
  <si>
    <t>Cents to grow 1kg pasture DM</t>
  </si>
  <si>
    <t>Arad 5.6 cents</t>
  </si>
  <si>
    <t>Quinphos Egyptian 7.5 cents</t>
  </si>
  <si>
    <t>Costs include discounts and rebates where they apply and are ex the Mount port for fertilisers, or as indicated.</t>
  </si>
  <si>
    <t>Plant Plasma</t>
  </si>
  <si>
    <t xml:space="preserve">These are the values per 450 kg (990 lb) cow per 24 hour day. NZ cows are in milking yards for an average of 2 hours a </t>
  </si>
  <si>
    <t xml:space="preserve">These figures also help show the value of phosphorus (P) in some fertilisers. P is the most important growth element and is too low on many farms. </t>
  </si>
  <si>
    <t>Salt</t>
  </si>
  <si>
    <t>Na x 2.7 = salt</t>
  </si>
  <si>
    <t>/t</t>
    <phoneticPr fontId="2" type="noConversion"/>
  </si>
  <si>
    <t>Value/kg</t>
    <phoneticPr fontId="2" type="noConversion"/>
  </si>
  <si>
    <t>Ammophos Hycrop</t>
  </si>
  <si>
    <t>Costs and values of bulk fertilizers delivered to a Waikato farm. Enter your fertiliser costs.</t>
  </si>
  <si>
    <t xml:space="preserve">Average Waikato, NZ, dairy effluent figures from Environment Waikato show that each cow produces/causes 50 litres of </t>
  </si>
  <si>
    <t>No value because with acid</t>
  </si>
  <si>
    <t>Item</t>
  </si>
  <si>
    <t>Value/kg</t>
  </si>
  <si>
    <t>Cow/d</t>
  </si>
  <si>
    <t>Cow/Yr</t>
  </si>
  <si>
    <t>Organic</t>
  </si>
  <si>
    <t xml:space="preserve">matter </t>
    <phoneticPr fontId="2" type="noConversion"/>
  </si>
  <si>
    <t>Window split to here.</t>
    <phoneticPr fontId="2" type="noConversion"/>
  </si>
  <si>
    <t>Poultry manure fresh &amp; pure. dry Changes with age. Value. Usually sold by m3 = about 0.5 tonnes</t>
    <phoneticPr fontId="2" type="noConversion"/>
  </si>
  <si>
    <t>Coast Biologicals Response Black Label</t>
  </si>
  <si>
    <t xml:space="preserve">Pig effluent. Can have excess copper. </t>
  </si>
  <si>
    <t>Sewage Sludge</t>
  </si>
  <si>
    <t xml:space="preserve">Ecostream is also ideal for spreading dairy effluent because their stall pressure is low.  </t>
  </si>
  <si>
    <t xml:space="preserve">Effluent spread during milking from 200 cows saves about $3,500/year in fertilizer. </t>
  </si>
  <si>
    <t>Lowest cost/kg of elements &gt;</t>
  </si>
  <si>
    <t>%N</t>
  </si>
  <si>
    <t>%P</t>
  </si>
  <si>
    <t>%K</t>
  </si>
  <si>
    <t>%S</t>
  </si>
  <si>
    <t>%Mg</t>
  </si>
  <si>
    <t>B</t>
  </si>
  <si>
    <t>Co</t>
  </si>
  <si>
    <t>Cu</t>
  </si>
  <si>
    <t>I</t>
  </si>
  <si>
    <t>Mn</t>
  </si>
  <si>
    <t>The value of other elements only applies if you need them.</t>
  </si>
  <si>
    <t>Poultry Manure + litter can vary substantially from the above figures.</t>
  </si>
  <si>
    <t>Sechura  Peru 3.8 cents</t>
  </si>
  <si>
    <t xml:space="preserve">Dairy cow effluent/cow/day </t>
  </si>
  <si>
    <t>?</t>
  </si>
  <si>
    <t xml:space="preserve">Effluent gives the best return if spread fresh during each milking. </t>
  </si>
  <si>
    <t xml:space="preserve">One Ecostream travelling irrigator covers a 28 metres (90 ft) diameter and </t>
  </si>
  <si>
    <t>Muriate of Potash There are 50 tonnes of K in each hectare of land,</t>
    <phoneticPr fontId="2" type="noConversion"/>
  </si>
  <si>
    <t>so think before applying any. Most NZ dairy farms have too much..</t>
    <phoneticPr fontId="2" type="noConversion"/>
  </si>
  <si>
    <t xml:space="preserve">effluent/day at two milkings, so 200 cows would produce the following in a year in NZ$. </t>
    <phoneticPr fontId="2" type="noConversion"/>
  </si>
  <si>
    <t>200 cows/yr</t>
    <phoneticPr fontId="2" type="noConversion"/>
  </si>
  <si>
    <t>If you have fertilsers other than those listed, write over the names of ones you don't have so won't use.</t>
  </si>
  <si>
    <t>Copyright© 1990 GrazingInfo Ltd</t>
  </si>
  <si>
    <t>Iod S</t>
  </si>
  <si>
    <t>Mn S</t>
  </si>
  <si>
    <t>Molyd</t>
  </si>
  <si>
    <t>Na</t>
  </si>
  <si>
    <t>Zinc S</t>
  </si>
  <si>
    <t>1% Se</t>
  </si>
  <si>
    <t>Iron</t>
  </si>
  <si>
    <t>Enter rates per hectare or acre in column U to get rates of N, P, K and S/ha or acre.</t>
  </si>
  <si>
    <t>Fertiliser and effluent values</t>
    <phoneticPr fontId="2" type="noConversion"/>
  </si>
  <si>
    <t>Poulty manure with litter, depending on moisture, age &amp; % of each.</t>
    <phoneticPr fontId="2" type="noConversion"/>
  </si>
  <si>
    <t>Some is only 3% N, 2% P &amp; 1% K.</t>
    <phoneticPr fontId="2" type="noConversion"/>
  </si>
  <si>
    <t>Value delivered Waikato &amp; spread</t>
  </si>
  <si>
    <t>per 200 cows delivered and spread</t>
  </si>
  <si>
    <t xml:space="preserve"> pulls 150 metres (500 ft) of 50 mm (2 inch) pipe. </t>
  </si>
  <si>
    <t>Cow manure dry</t>
  </si>
  <si>
    <t>Selcote</t>
  </si>
  <si>
    <t>Mo</t>
  </si>
  <si>
    <t>Zn</t>
  </si>
  <si>
    <t>Se</t>
  </si>
  <si>
    <t>Fe</t>
  </si>
  <si>
    <t>Premium Foliafeed Fertilsers Ltd with FE control</t>
  </si>
  <si>
    <t>Value/tonne</t>
  </si>
  <si>
    <t>no value</t>
  </si>
  <si>
    <t>on most</t>
  </si>
  <si>
    <t>farms</t>
  </si>
  <si>
    <t>If of  value on your farm</t>
  </si>
  <si>
    <t>If of value on your farm</t>
  </si>
  <si>
    <t>enter it</t>
  </si>
  <si>
    <t>$1,840</t>
  </si>
  <si>
    <t>Phosphorus</t>
  </si>
  <si>
    <t>$0.01</t>
  </si>
  <si>
    <t>$2</t>
  </si>
  <si>
    <t>$368</t>
  </si>
  <si>
    <t>Gypsum</t>
  </si>
  <si>
    <t>Potassium</t>
  </si>
  <si>
    <t>Instructions:</t>
  </si>
  <si>
    <t>K</t>
  </si>
  <si>
    <t>$0.28</t>
  </si>
  <si>
    <t>Mono Ammonium Phosphate (MAP)</t>
  </si>
  <si>
    <t>Ca</t>
  </si>
  <si>
    <t>$0.002</t>
  </si>
  <si>
    <t>Total</t>
  </si>
  <si>
    <t>%</t>
    <phoneticPr fontId="2" type="noConversion"/>
  </si>
  <si>
    <t>ppm</t>
    <phoneticPr fontId="2" type="noConversion"/>
  </si>
  <si>
    <t>Boron</t>
    <phoneticPr fontId="2" type="noConversion"/>
  </si>
  <si>
    <t>Typical Chemical Analysis Magnesium Carbonate 36 – 41%</t>
  </si>
  <si>
    <t>elemental Magnesium 11.5%</t>
  </si>
  <si>
    <t>Calcium Carbonate 58 – 61%</t>
  </si>
  <si>
    <t>elemental Calcium 24%</t>
  </si>
  <si>
    <t>Ferric Oxide 0.2 – 0.6%</t>
  </si>
  <si>
    <t>Silicon dioxide 4%</t>
  </si>
  <si>
    <t>Boron 5 ppm</t>
  </si>
  <si>
    <t>Cobalt 2 ppm</t>
  </si>
  <si>
    <t>Copper 1 ppm</t>
  </si>
  <si>
    <t>Manganese 173 ppm</t>
  </si>
  <si>
    <t>Molybdenum 3 ppm</t>
  </si>
  <si>
    <t>Zinc 10 ppm</t>
  </si>
  <si>
    <r>
      <t xml:space="preserve">Dolomite  </t>
    </r>
    <r>
      <rPr>
        <b/>
        <sz val="12"/>
        <color indexed="8"/>
        <rFont val="Times New Roman"/>
      </rPr>
      <t>See T35</t>
    </r>
    <r>
      <rPr>
        <sz val="12"/>
        <color indexed="8"/>
        <rFont val="Times New Roman"/>
      </rPr>
      <t>.</t>
    </r>
    <phoneticPr fontId="2" type="noConversion"/>
  </si>
  <si>
    <t>$9</t>
  </si>
  <si>
    <t>Script recommended rate 4 kg/ha</t>
  </si>
  <si>
    <t xml:space="preserve">$ are New Zealand. Enter figures in your currency. For your information one NZ$ is 0.7 US$, 0.9 Canadian, 0.4 British pound, 0.9 Australian. </t>
  </si>
  <si>
    <t>Calculate the value of fertilisers by element</t>
  </si>
  <si>
    <t>Sulphate of Ammonia</t>
  </si>
  <si>
    <t xml:space="preserve">An Ecostream irrigator can also be used to irrigate. Operating 20 hours/day </t>
  </si>
  <si>
    <t>Gafsa 4.3 cents</t>
  </si>
  <si>
    <t>Agricultural lime Rorison CaCo3 cost</t>
  </si>
  <si>
    <t>North Carolina 4.4 cents USA</t>
  </si>
  <si>
    <t>Value Rate: 15 litres ($50)/ha for 1-1-1 kg/ha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</si>
</sst>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8" formatCode="\$#,##0\ ;\(\$#,##0\)"/>
    <numFmt numFmtId="180" formatCode="\$#,##0.00\ ;\(\$#,##0.00\)"/>
    <numFmt numFmtId="184" formatCode="d\/m\/yy"/>
    <numFmt numFmtId="193" formatCode="\$#,##0"/>
    <numFmt numFmtId="194" formatCode="0.0%"/>
    <numFmt numFmtId="195" formatCode="\$#,##0.00"/>
    <numFmt numFmtId="196" formatCode="#,##0%\ ;\(#,##0%\)"/>
    <numFmt numFmtId="197" formatCode="#,##0.00%"/>
    <numFmt numFmtId="198" formatCode="#,##0%"/>
    <numFmt numFmtId="199" formatCode="#,##0.0%"/>
    <numFmt numFmtId="200" formatCode="0%\ ;\(0%\)"/>
    <numFmt numFmtId="201" formatCode="#,##0.0%\ ;\(#,##0.0%\)"/>
    <numFmt numFmtId="202" formatCode="0.0%\ ;\(0.0%\)"/>
    <numFmt numFmtId="203" formatCode="#,##0.0"/>
    <numFmt numFmtId="204" formatCode="0.00000%"/>
    <numFmt numFmtId="205" formatCode="\$0.00"/>
    <numFmt numFmtId="206" formatCode="#,##0.000000"/>
    <numFmt numFmtId="207" formatCode="&quot;$&quot;#,##0.00"/>
    <numFmt numFmtId="208" formatCode="0.000%"/>
    <numFmt numFmtId="211" formatCode="&quot;$&quot;#,##0"/>
  </numFmts>
  <fonts count="13" x14ac:knownFonts="1">
    <font>
      <sz val="10"/>
      <color indexed="8"/>
      <name val="Geneva"/>
    </font>
    <font>
      <b/>
      <sz val="16"/>
      <color indexed="8"/>
      <name val="Times New Roman"/>
      <family val="1"/>
    </font>
    <font>
      <sz val="8"/>
      <name val="Verdana"/>
    </font>
    <font>
      <b/>
      <sz val="14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</font>
    <font>
      <u/>
      <sz val="12"/>
      <color indexed="8"/>
      <name val="Times New Roman"/>
    </font>
    <font>
      <b/>
      <u/>
      <sz val="12"/>
      <color indexed="8"/>
      <name val="Times New Roman"/>
    </font>
    <font>
      <sz val="12"/>
      <color indexed="60"/>
      <name val="Times New Roman"/>
    </font>
    <font>
      <b/>
      <sz val="12"/>
      <color indexed="25"/>
      <name val="Times New Roman"/>
    </font>
    <font>
      <sz val="14"/>
      <color indexed="53"/>
      <name val="Times New Roman"/>
    </font>
    <font>
      <b/>
      <sz val="14"/>
      <color indexed="53"/>
      <name val="Times New Roman"/>
    </font>
    <font>
      <sz val="14"/>
      <color indexed="57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178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9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9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78" fontId="7" fillId="0" borderId="0" xfId="0" applyNumberFormat="1" applyFont="1" applyFill="1" applyBorder="1" applyAlignment="1" applyProtection="1">
      <alignment horizontal="center"/>
      <protection locked="0"/>
    </xf>
    <xf numFmtId="195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center" wrapText="1"/>
      <protection locked="0"/>
    </xf>
    <xf numFmtId="193" fontId="4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center"/>
      <protection locked="0"/>
    </xf>
    <xf numFmtId="194" fontId="4" fillId="0" borderId="0" xfId="0" applyNumberFormat="1" applyFont="1" applyFill="1" applyBorder="1" applyAlignment="1" applyProtection="1">
      <alignment horizontal="center"/>
      <protection locked="0"/>
    </xf>
    <xf numFmtId="197" fontId="4" fillId="0" borderId="0" xfId="0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Border="1" applyAlignment="1" applyProtection="1">
      <alignment horizontal="center"/>
      <protection locked="0"/>
    </xf>
    <xf numFmtId="198" fontId="4" fillId="0" borderId="0" xfId="0" applyNumberFormat="1" applyFont="1" applyFill="1" applyBorder="1" applyAlignment="1" applyProtection="1">
      <alignment horizontal="right"/>
      <protection locked="0"/>
    </xf>
    <xf numFmtId="199" fontId="4" fillId="0" borderId="0" xfId="0" applyNumberFormat="1" applyFont="1" applyFill="1" applyBorder="1" applyAlignment="1" applyProtection="1">
      <alignment horizontal="center"/>
      <protection locked="0"/>
    </xf>
    <xf numFmtId="195" fontId="4" fillId="0" borderId="0" xfId="0" applyNumberFormat="1" applyFont="1" applyFill="1" applyBorder="1" applyAlignment="1" applyProtection="1">
      <alignment horizontal="right"/>
      <protection locked="0"/>
    </xf>
    <xf numFmtId="198" fontId="4" fillId="0" borderId="0" xfId="0" applyNumberFormat="1" applyFont="1" applyFill="1" applyBorder="1" applyAlignment="1" applyProtection="1">
      <alignment horizontal="center"/>
      <protection locked="0"/>
    </xf>
    <xf numFmtId="193" fontId="4" fillId="0" borderId="0" xfId="0" applyNumberFormat="1" applyFont="1" applyFill="1" applyBorder="1" applyAlignment="1" applyProtection="1">
      <alignment horizontal="left"/>
      <protection locked="0"/>
    </xf>
    <xf numFmtId="200" fontId="4" fillId="0" borderId="0" xfId="0" applyNumberFormat="1" applyFont="1" applyFill="1" applyBorder="1" applyAlignment="1" applyProtection="1">
      <alignment horizontal="center"/>
      <protection locked="0"/>
    </xf>
    <xf numFmtId="201" fontId="4" fillId="0" borderId="0" xfId="0" applyNumberFormat="1" applyFont="1" applyFill="1" applyBorder="1" applyAlignment="1" applyProtection="1">
      <alignment horizontal="center"/>
      <protection locked="0"/>
    </xf>
    <xf numFmtId="202" fontId="4" fillId="0" borderId="0" xfId="0" applyNumberFormat="1" applyFont="1" applyFill="1" applyBorder="1" applyAlignment="1" applyProtection="1">
      <alignment horizontal="center"/>
      <protection locked="0"/>
    </xf>
    <xf numFmtId="199" fontId="4" fillId="0" borderId="0" xfId="0" applyNumberFormat="1" applyFont="1" applyFill="1" applyBorder="1" applyAlignment="1" applyProtection="1">
      <alignment horizontal="right"/>
      <protection locked="0"/>
    </xf>
    <xf numFmtId="184" fontId="5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203" fontId="4" fillId="0" borderId="0" xfId="0" applyNumberFormat="1" applyFont="1" applyFill="1" applyBorder="1" applyAlignment="1" applyProtection="1">
      <alignment horizontal="right"/>
      <protection locked="0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199" fontId="4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204" fontId="4" fillId="0" borderId="0" xfId="0" applyNumberFormat="1" applyFont="1" applyFill="1" applyBorder="1" applyAlignment="1" applyProtection="1">
      <alignment horizontal="right"/>
      <protection locked="0"/>
    </xf>
    <xf numFmtId="194" fontId="4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205" fontId="5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199" fontId="4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05" fontId="4" fillId="0" borderId="0" xfId="0" applyNumberFormat="1" applyFont="1" applyFill="1" applyBorder="1" applyAlignment="1" applyProtection="1">
      <alignment horizontal="right"/>
      <protection locked="0"/>
    </xf>
    <xf numFmtId="206" fontId="4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protection locked="0"/>
    </xf>
    <xf numFmtId="180" fontId="4" fillId="0" borderId="0" xfId="0" applyNumberFormat="1" applyFont="1" applyFill="1" applyBorder="1" applyAlignment="1" applyProtection="1">
      <alignment horizontal="center"/>
      <protection locked="0"/>
    </xf>
    <xf numFmtId="207" fontId="4" fillId="0" borderId="0" xfId="0" applyNumberFormat="1" applyFont="1" applyFill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 applyProtection="1">
      <alignment horizontal="right"/>
      <protection locked="0"/>
    </xf>
    <xf numFmtId="195" fontId="4" fillId="2" borderId="0" xfId="0" applyNumberFormat="1" applyFont="1" applyFill="1" applyBorder="1" applyAlignment="1" applyProtection="1">
      <alignment horizontal="center"/>
      <protection locked="0"/>
    </xf>
    <xf numFmtId="193" fontId="4" fillId="2" borderId="0" xfId="0" applyNumberFormat="1" applyFont="1" applyFill="1" applyBorder="1" applyAlignment="1" applyProtection="1">
      <alignment horizontal="center"/>
      <protection locked="0"/>
    </xf>
    <xf numFmtId="207" fontId="4" fillId="2" borderId="0" xfId="0" applyNumberFormat="1" applyFont="1" applyFill="1" applyBorder="1" applyAlignment="1" applyProtection="1">
      <alignment horizontal="center"/>
      <protection locked="0"/>
    </xf>
    <xf numFmtId="207" fontId="4" fillId="2" borderId="0" xfId="0" applyNumberFormat="1" applyFont="1" applyFill="1" applyBorder="1" applyAlignment="1" applyProtection="1">
      <alignment horizontal="left"/>
      <protection locked="0"/>
    </xf>
    <xf numFmtId="195" fontId="4" fillId="2" borderId="0" xfId="0" applyNumberFormat="1" applyFont="1" applyFill="1" applyBorder="1" applyAlignment="1" applyProtection="1">
      <alignment horizontal="right"/>
      <protection locked="0"/>
    </xf>
    <xf numFmtId="180" fontId="4" fillId="2" borderId="0" xfId="0" applyNumberFormat="1" applyFont="1" applyFill="1" applyBorder="1" applyAlignment="1" applyProtection="1">
      <alignment horizontal="center"/>
      <protection locked="0"/>
    </xf>
    <xf numFmtId="178" fontId="4" fillId="2" borderId="0" xfId="0" applyNumberFormat="1" applyFont="1" applyFill="1" applyBorder="1" applyAlignment="1" applyProtection="1">
      <alignment horizontal="center"/>
      <protection locked="0"/>
    </xf>
    <xf numFmtId="193" fontId="4" fillId="2" borderId="0" xfId="0" applyNumberFormat="1" applyFont="1" applyFill="1" applyBorder="1" applyAlignment="1" applyProtection="1">
      <alignment horizontal="right"/>
      <protection locked="0"/>
    </xf>
    <xf numFmtId="10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10" fontId="4" fillId="2" borderId="0" xfId="0" applyNumberFormat="1" applyFont="1" applyFill="1" applyBorder="1" applyAlignment="1" applyProtection="1">
      <alignment horizontal="right"/>
      <protection locked="0"/>
    </xf>
    <xf numFmtId="10" fontId="4" fillId="2" borderId="0" xfId="0" applyNumberFormat="1" applyFont="1" applyFill="1" applyBorder="1" applyAlignment="1" applyProtection="1">
      <protection locked="0"/>
    </xf>
    <xf numFmtId="14" fontId="4" fillId="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211" fontId="4" fillId="0" borderId="0" xfId="0" applyNumberFormat="1" applyFont="1" applyFill="1" applyBorder="1" applyAlignment="1" applyProtection="1">
      <alignment horizontal="center"/>
      <protection locked="0"/>
    </xf>
    <xf numFmtId="207" fontId="4" fillId="0" borderId="0" xfId="0" applyNumberFormat="1" applyFont="1" applyFill="1" applyBorder="1" applyAlignment="1" applyProtection="1">
      <alignment horizontal="left"/>
      <protection locked="0"/>
    </xf>
    <xf numFmtId="207" fontId="4" fillId="0" borderId="0" xfId="0" applyNumberFormat="1" applyFont="1" applyFill="1" applyBorder="1" applyAlignment="1" applyProtection="1">
      <alignment horizontal="center"/>
      <protection locked="0"/>
    </xf>
    <xf numFmtId="195" fontId="4" fillId="2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99" fontId="10" fillId="0" borderId="0" xfId="0" applyNumberFormat="1" applyFont="1" applyFill="1" applyBorder="1" applyAlignment="1" applyProtection="1">
      <alignment horizontal="left"/>
      <protection locked="0"/>
    </xf>
    <xf numFmtId="208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tabSelected="1" showOutlineSymbols="0" defaultGridColor="0" colorId="8" zoomScale="125" zoomScaleNormal="125" zoomScalePageLayoutView="125" workbookViewId="0">
      <pane ySplit="3440" activePane="bottomLeft"/>
      <selection activeCell="P3" sqref="P3"/>
      <selection pane="bottomLeft" sqref="A1:A2"/>
    </sheetView>
  </sheetViews>
  <sheetFormatPr baseColWidth="10" defaultColWidth="9.7109375" defaultRowHeight="16" x14ac:dyDescent="0.2"/>
  <cols>
    <col min="1" max="1" width="46.28515625" style="4" customWidth="1"/>
    <col min="2" max="2" width="17" style="4" customWidth="1"/>
    <col min="3" max="3" width="5.42578125" style="4" customWidth="1"/>
    <col min="4" max="4" width="9" style="4" customWidth="1"/>
    <col min="5" max="5" width="5.7109375" style="4" customWidth="1"/>
    <col min="6" max="6" width="7.42578125" style="4" customWidth="1"/>
    <col min="7" max="8" width="5.85546875" style="4" customWidth="1"/>
    <col min="9" max="9" width="8.140625" style="4" customWidth="1"/>
    <col min="10" max="10" width="6.28515625" style="4" customWidth="1"/>
    <col min="11" max="11" width="8.5703125" style="4" customWidth="1"/>
    <col min="12" max="12" width="7.140625" style="4" customWidth="1"/>
    <col min="13" max="13" width="7.85546875" style="4" customWidth="1"/>
    <col min="14" max="14" width="7.5703125" style="4" customWidth="1"/>
    <col min="15" max="15" width="6.85546875" style="4" customWidth="1"/>
    <col min="16" max="16" width="7.85546875" style="4" customWidth="1"/>
    <col min="17" max="17" width="7" style="4" customWidth="1"/>
    <col min="18" max="18" width="9" style="4" customWidth="1"/>
    <col min="19" max="19" width="5.5703125" style="4" customWidth="1"/>
    <col min="20" max="20" width="8.5703125" style="4" customWidth="1"/>
    <col min="21" max="22" width="4.140625" style="4" customWidth="1"/>
    <col min="23" max="23" width="5.5703125" style="4" customWidth="1"/>
    <col min="24" max="24" width="5.7109375" style="4" customWidth="1"/>
    <col min="25" max="16384" width="9.7109375" style="4"/>
  </cols>
  <sheetData>
    <row r="1" spans="1:25" ht="18.5" customHeight="1" x14ac:dyDescent="0.2">
      <c r="A1" s="1" t="s">
        <v>162</v>
      </c>
      <c r="B1" s="2" t="s">
        <v>215</v>
      </c>
      <c r="C1" s="3"/>
      <c r="E1" s="5"/>
      <c r="F1" s="5"/>
      <c r="G1" s="5"/>
      <c r="H1" s="5"/>
      <c r="I1" s="6" t="s">
        <v>13</v>
      </c>
      <c r="K1" s="7"/>
      <c r="L1" s="7"/>
      <c r="M1" s="7"/>
      <c r="O1" s="7"/>
      <c r="P1" s="4" t="s">
        <v>33</v>
      </c>
      <c r="Q1" s="7"/>
      <c r="R1" s="7"/>
      <c r="S1" s="7"/>
      <c r="T1" s="7"/>
      <c r="U1" s="7"/>
      <c r="V1" s="7"/>
      <c r="W1" s="8" t="s">
        <v>189</v>
      </c>
      <c r="X1" s="7"/>
      <c r="Y1" s="9" t="s">
        <v>55</v>
      </c>
    </row>
    <row r="2" spans="1:25" ht="18.5" customHeight="1" x14ac:dyDescent="0.2">
      <c r="A2" s="9" t="s">
        <v>114</v>
      </c>
      <c r="B2" s="5"/>
      <c r="C2" s="3"/>
      <c r="D2" s="5"/>
      <c r="E2" s="5"/>
      <c r="F2" s="5"/>
      <c r="G2" s="5"/>
      <c r="H2" s="5"/>
      <c r="I2" s="5"/>
      <c r="J2" s="5"/>
      <c r="K2" s="7"/>
      <c r="L2" s="7" t="s">
        <v>14</v>
      </c>
      <c r="M2" s="10">
        <v>20</v>
      </c>
      <c r="N2" s="11" t="s">
        <v>15</v>
      </c>
      <c r="O2" s="75"/>
      <c r="P2" s="88">
        <v>39176</v>
      </c>
      <c r="Q2" s="7"/>
      <c r="R2" s="7"/>
      <c r="S2" s="7"/>
      <c r="T2" s="7"/>
      <c r="U2" s="11"/>
      <c r="V2" s="7"/>
      <c r="W2" s="8" t="s">
        <v>153</v>
      </c>
    </row>
    <row r="3" spans="1:25" ht="18.5" customHeight="1" x14ac:dyDescent="0.2">
      <c r="A3" s="9" t="s">
        <v>108</v>
      </c>
      <c r="B3" s="5"/>
      <c r="C3" s="3"/>
      <c r="D3" s="5"/>
      <c r="E3" s="5"/>
      <c r="F3" s="5"/>
      <c r="G3" s="5"/>
      <c r="H3" s="5"/>
      <c r="I3" s="5"/>
      <c r="J3" s="5"/>
      <c r="K3" s="7"/>
      <c r="L3" s="7"/>
      <c r="M3" s="7"/>
      <c r="N3" s="7"/>
      <c r="O3" s="7"/>
      <c r="P3" s="7"/>
      <c r="Q3" s="7"/>
      <c r="R3" s="12" t="s">
        <v>109</v>
      </c>
      <c r="T3" s="11" t="s">
        <v>110</v>
      </c>
      <c r="U3" s="11"/>
      <c r="V3" s="7"/>
      <c r="W3" s="11" t="s">
        <v>214</v>
      </c>
    </row>
    <row r="4" spans="1:25" ht="18.5" customHeight="1" x14ac:dyDescent="0.2">
      <c r="A4" s="9" t="s">
        <v>66</v>
      </c>
      <c r="B4" s="9"/>
      <c r="C4" s="3"/>
      <c r="D4" s="5"/>
      <c r="E4" s="5"/>
      <c r="F4" s="5"/>
      <c r="G4" s="5"/>
      <c r="H4" s="5"/>
      <c r="I4" s="5"/>
      <c r="J4" s="5"/>
      <c r="K4" s="12" t="s">
        <v>121</v>
      </c>
      <c r="L4" s="7" t="s">
        <v>198</v>
      </c>
      <c r="M4" s="7"/>
      <c r="N4" s="7"/>
      <c r="O4" s="7"/>
      <c r="P4" s="76"/>
      <c r="Q4" s="7"/>
      <c r="R4" s="13">
        <v>2.7E-2</v>
      </c>
      <c r="S4" s="7"/>
      <c r="T4" s="12" t="s">
        <v>169</v>
      </c>
      <c r="U4" s="11"/>
      <c r="V4" s="7"/>
      <c r="W4" s="11" t="s">
        <v>152</v>
      </c>
    </row>
    <row r="5" spans="1:25" ht="17" customHeight="1" x14ac:dyDescent="0.2">
      <c r="A5" s="18"/>
      <c r="B5" s="12"/>
      <c r="C5" s="3"/>
      <c r="D5" s="7" t="s">
        <v>31</v>
      </c>
      <c r="E5" s="12" t="s">
        <v>38</v>
      </c>
      <c r="F5" s="12" t="s">
        <v>39</v>
      </c>
      <c r="G5" s="12" t="s">
        <v>40</v>
      </c>
      <c r="H5" s="12" t="s">
        <v>41</v>
      </c>
      <c r="I5" s="12" t="s">
        <v>42</v>
      </c>
      <c r="J5" s="12" t="s">
        <v>12</v>
      </c>
      <c r="K5" s="12" t="s">
        <v>122</v>
      </c>
      <c r="L5" s="12" t="s">
        <v>43</v>
      </c>
      <c r="M5" s="12" t="s">
        <v>44</v>
      </c>
      <c r="N5" s="12" t="s">
        <v>45</v>
      </c>
      <c r="O5" s="12" t="s">
        <v>154</v>
      </c>
      <c r="P5" s="12" t="s">
        <v>155</v>
      </c>
      <c r="Q5" s="12" t="s">
        <v>156</v>
      </c>
      <c r="R5" s="12" t="s">
        <v>157</v>
      </c>
      <c r="S5" s="12" t="s">
        <v>158</v>
      </c>
      <c r="T5" s="5" t="s">
        <v>159</v>
      </c>
      <c r="U5" s="12" t="s">
        <v>160</v>
      </c>
      <c r="V5" s="7"/>
      <c r="W5" s="11" t="s">
        <v>161</v>
      </c>
    </row>
    <row r="6" spans="1:25" ht="17" customHeight="1" x14ac:dyDescent="0.2">
      <c r="A6" s="8" t="s">
        <v>2</v>
      </c>
      <c r="B6" s="14"/>
      <c r="C6" s="3"/>
      <c r="D6" s="62" t="s">
        <v>130</v>
      </c>
      <c r="E6" s="63">
        <f>D8/(1000*E8)</f>
        <v>1.3369565217391304</v>
      </c>
      <c r="F6" s="63">
        <f>D12/(1000*F12)</f>
        <v>2.3880597014925371</v>
      </c>
      <c r="G6" s="63">
        <f>D34/(1000*G34)</f>
        <v>1.9</v>
      </c>
      <c r="H6" s="63">
        <f>D36/(1000*H36)</f>
        <v>0.39</v>
      </c>
      <c r="I6" s="63">
        <f>D40/(1000*I40)</f>
        <v>0.43043478260869567</v>
      </c>
      <c r="J6" s="63">
        <f>D48/(1000*J48)</f>
        <v>4.6938775510204082E-2</v>
      </c>
      <c r="K6" s="5"/>
      <c r="L6" s="63">
        <f>$D65/(1000*L65)</f>
        <v>14.545454545454545</v>
      </c>
      <c r="M6" s="64">
        <f>$D67/(1000*M67)</f>
        <v>95.238095238095241</v>
      </c>
      <c r="N6" s="63">
        <f>$D69/(1000*N69)</f>
        <v>10.416666666666666</v>
      </c>
      <c r="O6" s="63">
        <f>$D71/(1000*O71)</f>
        <v>30</v>
      </c>
      <c r="P6" s="16"/>
      <c r="Q6" s="16"/>
      <c r="R6" s="63">
        <f>$D73/(1000*R73)</f>
        <v>6.2962962962962967</v>
      </c>
      <c r="S6" s="63">
        <f>$D75/(1000*S75)</f>
        <v>4.5714285714285712</v>
      </c>
      <c r="T6" s="64">
        <f>$D77/(1000*T77)</f>
        <v>750</v>
      </c>
      <c r="U6" s="14"/>
      <c r="V6" s="17"/>
      <c r="W6" s="17"/>
    </row>
    <row r="7" spans="1:25" ht="17" customHeight="1" x14ac:dyDescent="0.2">
      <c r="B7" s="5" t="s">
        <v>30</v>
      </c>
      <c r="C7" s="15"/>
      <c r="E7" s="14" t="s">
        <v>131</v>
      </c>
      <c r="F7" s="14" t="s">
        <v>132</v>
      </c>
      <c r="G7" s="14" t="s">
        <v>133</v>
      </c>
      <c r="H7" s="14" t="s">
        <v>134</v>
      </c>
      <c r="I7" s="14" t="s">
        <v>135</v>
      </c>
      <c r="J7" s="14" t="s">
        <v>196</v>
      </c>
      <c r="K7" s="14"/>
      <c r="L7" s="14" t="s">
        <v>136</v>
      </c>
      <c r="M7" s="14" t="s">
        <v>137</v>
      </c>
      <c r="N7" s="14" t="s">
        <v>138</v>
      </c>
      <c r="O7" s="14" t="s">
        <v>139</v>
      </c>
      <c r="P7" s="14" t="s">
        <v>140</v>
      </c>
      <c r="Q7" s="14" t="s">
        <v>170</v>
      </c>
      <c r="R7" s="14" t="s">
        <v>157</v>
      </c>
      <c r="S7" s="14" t="s">
        <v>171</v>
      </c>
      <c r="T7" s="14" t="s">
        <v>172</v>
      </c>
      <c r="U7" s="14" t="s">
        <v>173</v>
      </c>
      <c r="V7" s="17"/>
      <c r="W7" s="11" t="s">
        <v>23</v>
      </c>
      <c r="X7" s="7"/>
    </row>
    <row r="8" spans="1:25" ht="17" customHeight="1" x14ac:dyDescent="0.2">
      <c r="A8" s="11" t="s">
        <v>38</v>
      </c>
      <c r="B8" s="7" t="s">
        <v>88</v>
      </c>
      <c r="C8" s="65">
        <f>D8/1000</f>
        <v>0.61499999999999999</v>
      </c>
      <c r="D8" s="19">
        <v>615</v>
      </c>
      <c r="E8" s="20">
        <v>0.46</v>
      </c>
      <c r="F8" s="5"/>
      <c r="G8" s="5"/>
      <c r="H8" s="5"/>
      <c r="I8" s="5"/>
      <c r="L8" s="7"/>
      <c r="M8" s="7"/>
      <c r="O8" s="77" t="s">
        <v>123</v>
      </c>
      <c r="P8" s="11" t="s">
        <v>26</v>
      </c>
      <c r="Q8" s="11" t="s">
        <v>27</v>
      </c>
      <c r="R8" s="7"/>
      <c r="S8" s="7"/>
      <c r="T8" s="7"/>
      <c r="U8" s="11" t="s">
        <v>72</v>
      </c>
      <c r="V8" s="7"/>
      <c r="W8" s="7"/>
      <c r="X8" s="7"/>
    </row>
    <row r="9" spans="1:25" ht="17" customHeight="1" x14ac:dyDescent="0.2">
      <c r="A9" s="9" t="s">
        <v>73</v>
      </c>
      <c r="B9" s="7" t="s">
        <v>175</v>
      </c>
      <c r="C9" s="3"/>
      <c r="D9" s="64">
        <f>SUM(E9:T9)</f>
        <v>615</v>
      </c>
      <c r="E9" s="64">
        <f>1000*E8*E$6</f>
        <v>615</v>
      </c>
      <c r="F9" s="5"/>
      <c r="G9" s="5"/>
      <c r="H9" s="5"/>
      <c r="I9" s="5"/>
      <c r="J9" s="5" t="s">
        <v>32</v>
      </c>
      <c r="K9" s="7"/>
      <c r="L9" s="7"/>
      <c r="M9" s="7"/>
      <c r="N9" s="7"/>
      <c r="O9" s="7"/>
      <c r="P9" s="11" t="s">
        <v>176</v>
      </c>
      <c r="Q9" s="11" t="s">
        <v>176</v>
      </c>
      <c r="R9" s="7"/>
      <c r="S9" s="7"/>
      <c r="T9" s="7"/>
      <c r="U9" s="11" t="s">
        <v>176</v>
      </c>
      <c r="V9" s="7"/>
      <c r="W9" s="7"/>
      <c r="X9" s="7"/>
    </row>
    <row r="10" spans="1:25" ht="17" customHeight="1" x14ac:dyDescent="0.2">
      <c r="A10" s="11" t="s">
        <v>216</v>
      </c>
      <c r="B10" s="7" t="s">
        <v>88</v>
      </c>
      <c r="C10" s="65">
        <f>D10/1000</f>
        <v>0.40200000000000002</v>
      </c>
      <c r="D10" s="19">
        <v>402</v>
      </c>
      <c r="E10" s="20">
        <v>0.21</v>
      </c>
      <c r="F10" s="5"/>
      <c r="G10" s="5"/>
      <c r="H10" s="20">
        <v>0.24</v>
      </c>
      <c r="I10" s="5"/>
      <c r="J10" s="5"/>
      <c r="K10" s="7"/>
      <c r="L10" s="7"/>
      <c r="M10" s="7"/>
      <c r="N10" s="7"/>
      <c r="O10" s="7"/>
      <c r="P10" s="11" t="s">
        <v>177</v>
      </c>
      <c r="Q10" s="11" t="s">
        <v>177</v>
      </c>
      <c r="R10" s="7"/>
      <c r="S10" s="7"/>
      <c r="T10" s="7"/>
      <c r="U10" s="11" t="s">
        <v>177</v>
      </c>
      <c r="V10" s="7"/>
      <c r="W10" s="7"/>
      <c r="X10" s="7"/>
    </row>
    <row r="11" spans="1:25" ht="17" customHeight="1" x14ac:dyDescent="0.2">
      <c r="A11" s="61" t="s">
        <v>112</v>
      </c>
      <c r="B11" s="66">
        <f>D11/210</f>
        <v>1.7826708074534161</v>
      </c>
      <c r="C11" s="39" t="s">
        <v>111</v>
      </c>
      <c r="D11" s="64">
        <f>SUM(E11:T11)</f>
        <v>374.3608695652174</v>
      </c>
      <c r="E11" s="64">
        <f>1000*E10*E$6</f>
        <v>280.76086956521738</v>
      </c>
      <c r="F11" s="5"/>
      <c r="G11" s="5"/>
      <c r="H11" s="64">
        <f>1000*H10*H$6</f>
        <v>93.600000000000009</v>
      </c>
      <c r="I11" s="5"/>
      <c r="J11" s="5"/>
      <c r="K11" s="7"/>
      <c r="L11" s="7"/>
      <c r="M11" s="7"/>
      <c r="N11" s="7"/>
      <c r="O11" s="7"/>
      <c r="P11" s="11" t="s">
        <v>35</v>
      </c>
      <c r="Q11" s="11" t="s">
        <v>36</v>
      </c>
      <c r="R11" s="7"/>
      <c r="S11" s="7"/>
      <c r="T11" s="7"/>
      <c r="U11" s="11" t="s">
        <v>178</v>
      </c>
      <c r="V11" s="7"/>
      <c r="W11" s="7"/>
      <c r="X11" s="7"/>
    </row>
    <row r="12" spans="1:25" ht="17" customHeight="1" x14ac:dyDescent="0.2">
      <c r="A12" s="11" t="s">
        <v>8</v>
      </c>
      <c r="B12" s="7" t="s">
        <v>24</v>
      </c>
      <c r="C12" s="65">
        <f>D12/1000</f>
        <v>0.32</v>
      </c>
      <c r="D12" s="19">
        <v>320</v>
      </c>
      <c r="E12" s="22"/>
      <c r="F12" s="23">
        <v>0.13400000000000001</v>
      </c>
      <c r="G12" s="24">
        <v>1.8E-3</v>
      </c>
      <c r="H12" s="23">
        <v>8.0000000000000002E-3</v>
      </c>
      <c r="I12" s="25">
        <v>2.5000000000000001E-3</v>
      </c>
      <c r="J12" s="23">
        <v>0.35299999999999998</v>
      </c>
      <c r="K12" s="7"/>
      <c r="L12" s="7"/>
      <c r="M12" s="7"/>
      <c r="N12" s="7"/>
      <c r="O12" s="7"/>
      <c r="P12" s="7" t="s">
        <v>179</v>
      </c>
      <c r="Q12" s="26">
        <v>0.05</v>
      </c>
      <c r="R12" s="13">
        <v>1.2E-2</v>
      </c>
      <c r="S12" s="7"/>
      <c r="T12" s="7"/>
      <c r="U12" s="11" t="s">
        <v>180</v>
      </c>
      <c r="V12" s="7"/>
      <c r="W12" s="7"/>
      <c r="X12" s="7"/>
    </row>
    <row r="13" spans="1:25" ht="17" customHeight="1" x14ac:dyDescent="0.2">
      <c r="A13" s="61" t="s">
        <v>112</v>
      </c>
      <c r="B13" s="66">
        <f>D13/210</f>
        <v>1.6405213081505896</v>
      </c>
      <c r="C13" s="39" t="s">
        <v>111</v>
      </c>
      <c r="D13" s="64">
        <f>SUM(E13:T13)</f>
        <v>344.5094747116238</v>
      </c>
      <c r="E13" s="16"/>
      <c r="F13" s="64">
        <f>1000*F12*F$6</f>
        <v>320</v>
      </c>
      <c r="G13" s="64">
        <f>1000*G12*G$6</f>
        <v>3.42</v>
      </c>
      <c r="H13" s="64">
        <f>1000*H12*H$6</f>
        <v>3.12</v>
      </c>
      <c r="I13" s="64">
        <f>1000*I12*I$6</f>
        <v>1.0760869565217392</v>
      </c>
      <c r="J13" s="64">
        <f>1000*J12*J$6</f>
        <v>16.569387755102042</v>
      </c>
      <c r="K13" s="7"/>
      <c r="L13" s="7"/>
      <c r="M13" s="7"/>
      <c r="N13" s="7"/>
      <c r="O13" s="7"/>
      <c r="P13" s="5" t="s">
        <v>181</v>
      </c>
      <c r="Q13" s="26"/>
      <c r="R13" s="67">
        <f>1000*R12*R$4</f>
        <v>0.32400000000000001</v>
      </c>
      <c r="S13" s="7"/>
      <c r="T13" s="7"/>
      <c r="U13" s="11" t="s">
        <v>181</v>
      </c>
      <c r="V13" s="7"/>
      <c r="W13" s="7"/>
      <c r="X13" s="7"/>
    </row>
    <row r="14" spans="1:25" ht="17" customHeight="1" x14ac:dyDescent="0.2">
      <c r="A14" s="11" t="s">
        <v>3</v>
      </c>
      <c r="B14" s="7"/>
      <c r="C14" s="65"/>
      <c r="D14" s="64"/>
      <c r="E14" s="5"/>
      <c r="F14" s="23"/>
      <c r="G14" s="24"/>
      <c r="H14" s="27"/>
      <c r="I14" s="24"/>
      <c r="J14" s="27"/>
      <c r="K14" s="7"/>
      <c r="L14" s="7"/>
      <c r="M14" s="7"/>
      <c r="N14" s="7"/>
      <c r="O14" s="7"/>
      <c r="P14" s="7" t="s">
        <v>89</v>
      </c>
      <c r="Q14" s="26">
        <v>0.05</v>
      </c>
      <c r="R14" s="13">
        <v>8.9999999999999993E-3</v>
      </c>
      <c r="S14" s="7"/>
      <c r="T14" s="7"/>
      <c r="U14" s="11" t="s">
        <v>89</v>
      </c>
      <c r="V14" s="7"/>
      <c r="W14" s="7"/>
      <c r="X14" s="7"/>
    </row>
    <row r="15" spans="1:25" ht="17" customHeight="1" x14ac:dyDescent="0.2">
      <c r="A15" s="79" t="s">
        <v>34</v>
      </c>
      <c r="B15" s="66"/>
      <c r="C15" s="39"/>
      <c r="D15" s="64"/>
      <c r="E15" s="5"/>
      <c r="F15" s="64"/>
      <c r="G15" s="64"/>
      <c r="H15" s="64"/>
      <c r="I15" s="64"/>
      <c r="J15" s="64"/>
      <c r="K15" s="7"/>
      <c r="L15" s="7"/>
      <c r="M15" s="7"/>
      <c r="N15" s="7"/>
      <c r="O15" s="7"/>
      <c r="P15" s="7"/>
      <c r="Q15" s="26"/>
      <c r="R15" s="67">
        <f>1000*R14*R$4</f>
        <v>0.24299999999999999</v>
      </c>
      <c r="S15" s="7"/>
      <c r="T15" s="7"/>
      <c r="U15" s="7"/>
      <c r="V15" s="7"/>
      <c r="W15" s="7"/>
      <c r="X15" s="7"/>
    </row>
    <row r="16" spans="1:25" ht="17" customHeight="1" x14ac:dyDescent="0.2">
      <c r="A16" s="9" t="s">
        <v>7</v>
      </c>
      <c r="B16" s="7" t="s">
        <v>24</v>
      </c>
      <c r="C16" s="65">
        <f>D16/1000</f>
        <v>0.3</v>
      </c>
      <c r="D16" s="64">
        <v>300</v>
      </c>
      <c r="E16" s="22"/>
      <c r="F16" s="23">
        <v>0.129</v>
      </c>
      <c r="G16" s="24">
        <v>1E-4</v>
      </c>
      <c r="H16" s="23">
        <v>1.6E-2</v>
      </c>
      <c r="I16" s="25">
        <v>3.2000000000000002E-3</v>
      </c>
      <c r="J16" s="23">
        <v>0.33400000000000002</v>
      </c>
      <c r="K16" s="7"/>
      <c r="L16" s="7"/>
      <c r="M16" s="7"/>
      <c r="N16" s="7"/>
      <c r="O16" s="7"/>
      <c r="P16" s="7"/>
      <c r="Q16" s="26">
        <v>0.3</v>
      </c>
      <c r="R16" s="13">
        <v>1.6E-2</v>
      </c>
      <c r="S16" s="7"/>
      <c r="T16" s="7"/>
      <c r="U16" s="7"/>
      <c r="V16" s="7"/>
      <c r="W16" s="7"/>
      <c r="X16" s="7"/>
    </row>
    <row r="17" spans="1:24" ht="17" customHeight="1" x14ac:dyDescent="0.2">
      <c r="A17" s="61" t="s">
        <v>112</v>
      </c>
      <c r="B17" s="66">
        <f>D17/210</f>
        <v>1.5808411610347299</v>
      </c>
      <c r="C17" s="39" t="s">
        <v>111</v>
      </c>
      <c r="D17" s="64">
        <f>SUM(E17:T17)</f>
        <v>331.97664381729328</v>
      </c>
      <c r="E17" s="5"/>
      <c r="F17" s="64">
        <f>1000*F16*F$6</f>
        <v>308.05970149253727</v>
      </c>
      <c r="G17" s="68">
        <f>1000*G16*G$6</f>
        <v>0.19</v>
      </c>
      <c r="H17" s="68">
        <f>1000*H16*H$6</f>
        <v>6.24</v>
      </c>
      <c r="I17" s="68">
        <f>1000*I16*I$6</f>
        <v>1.3773913043478263</v>
      </c>
      <c r="J17" s="68">
        <f>1000*J16*J$6</f>
        <v>15.677551020408163</v>
      </c>
      <c r="K17" s="7"/>
      <c r="L17" s="7"/>
      <c r="M17" s="7"/>
      <c r="N17" s="7"/>
      <c r="O17" s="7"/>
      <c r="P17" s="7"/>
      <c r="Q17" s="28"/>
      <c r="R17" s="67">
        <f>1000*R16*R$4</f>
        <v>0.432</v>
      </c>
      <c r="S17" s="7"/>
      <c r="T17" s="7"/>
      <c r="U17" s="7"/>
      <c r="V17" s="7"/>
      <c r="W17" s="7"/>
      <c r="X17" s="7"/>
    </row>
    <row r="18" spans="1:24" ht="17" customHeight="1" x14ac:dyDescent="0.2">
      <c r="A18" s="9" t="s">
        <v>9</v>
      </c>
      <c r="B18" s="7" t="s">
        <v>24</v>
      </c>
      <c r="C18" s="65">
        <f>D18/1000</f>
        <v>0.65</v>
      </c>
      <c r="D18" s="64">
        <v>650</v>
      </c>
      <c r="E18" s="5"/>
      <c r="F18" s="20">
        <v>0.21</v>
      </c>
      <c r="G18" s="5"/>
      <c r="H18" s="29">
        <v>0.02</v>
      </c>
      <c r="I18" s="5"/>
      <c r="J18" s="11" t="s">
        <v>90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7" customHeight="1" x14ac:dyDescent="0.2">
      <c r="A19" s="61" t="s">
        <v>112</v>
      </c>
      <c r="B19" s="66">
        <f>D19/210</f>
        <v>2.425202558635394</v>
      </c>
      <c r="C19" s="39" t="s">
        <v>111</v>
      </c>
      <c r="D19" s="64">
        <f>SUM(E19:T19)</f>
        <v>509.29253731343277</v>
      </c>
      <c r="E19" s="5"/>
      <c r="F19" s="64">
        <f>1000*F18*F$6</f>
        <v>501.49253731343276</v>
      </c>
      <c r="G19" s="5"/>
      <c r="H19" s="64">
        <f>1000*H18*H$6</f>
        <v>7.8000000000000007</v>
      </c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7" customHeight="1" x14ac:dyDescent="0.2">
      <c r="A20" s="9" t="s">
        <v>29</v>
      </c>
      <c r="B20" s="7" t="s">
        <v>24</v>
      </c>
      <c r="C20" s="3">
        <v>18</v>
      </c>
      <c r="D20" s="64">
        <v>350</v>
      </c>
      <c r="E20" s="29"/>
      <c r="F20" s="23">
        <v>8.6999999999999994E-2</v>
      </c>
      <c r="G20" s="5"/>
      <c r="H20" s="20">
        <v>0.11</v>
      </c>
      <c r="I20" s="5"/>
      <c r="J20" s="29">
        <v>0.2</v>
      </c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4" ht="17" customHeight="1" x14ac:dyDescent="0.2">
      <c r="A21" s="61" t="s">
        <v>112</v>
      </c>
      <c r="B21" s="66">
        <f>D21/210</f>
        <v>1.2159765313374817</v>
      </c>
      <c r="C21" s="39" t="s">
        <v>111</v>
      </c>
      <c r="D21" s="64">
        <f>SUM(E21:T21)</f>
        <v>255.35507158087117</v>
      </c>
      <c r="E21" s="5"/>
      <c r="F21" s="64">
        <f>1000*F20*F$6</f>
        <v>207.76119402985074</v>
      </c>
      <c r="G21" s="5"/>
      <c r="H21" s="64">
        <f>1000*H20*H$6</f>
        <v>42.9</v>
      </c>
      <c r="I21" s="5"/>
      <c r="J21" s="68">
        <f>1000*J20*J$6/2</f>
        <v>4.6938775510204085</v>
      </c>
      <c r="K21" s="30" t="s">
        <v>91</v>
      </c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4" ht="17" customHeight="1" x14ac:dyDescent="0.2">
      <c r="A22" s="9" t="s">
        <v>92</v>
      </c>
      <c r="B22" s="7" t="s">
        <v>24</v>
      </c>
      <c r="C22" s="3">
        <v>18</v>
      </c>
      <c r="D22" s="64">
        <v>380</v>
      </c>
      <c r="E22" s="5"/>
      <c r="F22" s="31">
        <v>0.15</v>
      </c>
      <c r="G22" s="5"/>
      <c r="H22" s="20">
        <v>7.0000000000000007E-2</v>
      </c>
      <c r="I22" s="5"/>
      <c r="J22" s="5"/>
      <c r="K22" s="7"/>
      <c r="L22" s="7"/>
      <c r="M22" s="8" t="s">
        <v>93</v>
      </c>
      <c r="N22" s="7"/>
      <c r="O22" s="7"/>
      <c r="P22" s="7"/>
      <c r="Q22" s="7"/>
      <c r="R22" s="7"/>
      <c r="S22" s="7"/>
      <c r="T22" s="7"/>
      <c r="U22" s="7"/>
    </row>
    <row r="23" spans="1:24" ht="17" customHeight="1" x14ac:dyDescent="0.2">
      <c r="A23" s="61" t="s">
        <v>112</v>
      </c>
      <c r="B23" s="66">
        <f>D23/210</f>
        <v>1.8357569296375267</v>
      </c>
      <c r="C23" s="39" t="s">
        <v>111</v>
      </c>
      <c r="D23" s="64">
        <f>SUM(E23:T23)</f>
        <v>385.5089552238806</v>
      </c>
      <c r="E23" s="5"/>
      <c r="F23" s="64">
        <f>1000*F22*F$6</f>
        <v>358.20895522388059</v>
      </c>
      <c r="G23" s="5"/>
      <c r="H23" s="64">
        <f>1000*H22*H$6</f>
        <v>27.3</v>
      </c>
      <c r="I23" s="5"/>
      <c r="J23" s="5"/>
      <c r="K23" s="7"/>
      <c r="L23" s="7"/>
      <c r="M23" s="17"/>
      <c r="N23" s="17"/>
      <c r="O23" s="17"/>
      <c r="P23" s="7"/>
      <c r="Q23" s="17" t="s">
        <v>94</v>
      </c>
      <c r="R23" s="17"/>
      <c r="S23" s="17"/>
    </row>
    <row r="24" spans="1:24" ht="17" customHeight="1" x14ac:dyDescent="0.2">
      <c r="A24" s="9" t="s">
        <v>95</v>
      </c>
      <c r="B24" s="7" t="s">
        <v>24</v>
      </c>
      <c r="C24" s="3">
        <v>18</v>
      </c>
      <c r="D24" s="64">
        <v>350</v>
      </c>
      <c r="E24" s="5"/>
      <c r="F24" s="20">
        <v>0.12</v>
      </c>
      <c r="G24" s="32">
        <v>0.01</v>
      </c>
      <c r="H24" s="20">
        <v>0.09</v>
      </c>
      <c r="I24" s="5"/>
      <c r="J24" s="5"/>
      <c r="K24" s="7"/>
      <c r="L24" s="17"/>
      <c r="M24" s="14" t="s">
        <v>96</v>
      </c>
      <c r="N24" s="14" t="s">
        <v>97</v>
      </c>
      <c r="O24" s="14" t="s">
        <v>98</v>
      </c>
      <c r="P24" s="14" t="s">
        <v>56</v>
      </c>
      <c r="Q24" s="14" t="s">
        <v>57</v>
      </c>
      <c r="R24" s="14" t="s">
        <v>58</v>
      </c>
      <c r="S24" s="14"/>
    </row>
    <row r="25" spans="1:24" ht="17" customHeight="1" x14ac:dyDescent="0.2">
      <c r="A25" s="61" t="s">
        <v>112</v>
      </c>
      <c r="B25" s="66">
        <f>D25/210</f>
        <v>1.5400817341862119</v>
      </c>
      <c r="C25" s="39" t="s">
        <v>111</v>
      </c>
      <c r="D25" s="64">
        <f>SUM(E25:T25)</f>
        <v>323.41716417910447</v>
      </c>
      <c r="E25" s="5"/>
      <c r="F25" s="64">
        <f>1000*F24*F$6</f>
        <v>286.56716417910445</v>
      </c>
      <c r="G25" s="5"/>
      <c r="H25" s="64">
        <f>1000*H24*H$6</f>
        <v>35.1</v>
      </c>
      <c r="I25" s="5"/>
      <c r="J25" s="5"/>
      <c r="K25" s="7"/>
      <c r="L25" s="7"/>
      <c r="M25" s="5" t="s">
        <v>59</v>
      </c>
      <c r="N25" s="5">
        <v>0.5</v>
      </c>
      <c r="O25" s="5">
        <v>0.25</v>
      </c>
      <c r="P25" s="5">
        <v>0.5</v>
      </c>
      <c r="Q25" s="5">
        <v>0.5</v>
      </c>
      <c r="R25" s="5" t="s">
        <v>60</v>
      </c>
      <c r="S25" s="5"/>
      <c r="T25" s="11"/>
    </row>
    <row r="26" spans="1:24" ht="17" customHeight="1" x14ac:dyDescent="0.2">
      <c r="A26" s="9" t="s">
        <v>61</v>
      </c>
      <c r="B26" s="7" t="s">
        <v>24</v>
      </c>
      <c r="C26" s="3">
        <v>18</v>
      </c>
      <c r="D26" s="64">
        <v>613</v>
      </c>
      <c r="E26" s="22">
        <v>0.18</v>
      </c>
      <c r="F26" s="29">
        <v>0.2</v>
      </c>
      <c r="G26" s="5"/>
      <c r="H26" s="29">
        <v>0.02</v>
      </c>
      <c r="I26" s="5"/>
      <c r="J26" s="5"/>
      <c r="K26" s="7"/>
      <c r="L26" s="7"/>
      <c r="M26" s="5" t="s">
        <v>62</v>
      </c>
      <c r="N26" s="5">
        <v>0.9</v>
      </c>
      <c r="O26" s="5">
        <v>0.65</v>
      </c>
      <c r="P26" s="5" t="s">
        <v>63</v>
      </c>
      <c r="Q26" s="5">
        <v>7.0000000000000007E-2</v>
      </c>
      <c r="R26" s="5" t="s">
        <v>64</v>
      </c>
      <c r="S26" s="5"/>
    </row>
    <row r="27" spans="1:24" ht="17" customHeight="1" x14ac:dyDescent="0.2">
      <c r="A27" s="79" t="s">
        <v>1</v>
      </c>
      <c r="B27" s="66">
        <f>D27/210</f>
        <v>3.4636386391026228</v>
      </c>
      <c r="C27" s="39" t="s">
        <v>111</v>
      </c>
      <c r="D27" s="64">
        <f>SUM(E27:T27)</f>
        <v>727.36411421155083</v>
      </c>
      <c r="E27" s="64">
        <f>1000*E26*E$6</f>
        <v>240.65217391304347</v>
      </c>
      <c r="F27" s="64">
        <f>1000*F26*F$6</f>
        <v>477.61194029850742</v>
      </c>
      <c r="G27" s="5"/>
      <c r="H27" s="64">
        <f>1000*H26*H$6</f>
        <v>7.8000000000000007</v>
      </c>
      <c r="I27" s="5"/>
      <c r="J27" s="5"/>
      <c r="K27" s="7"/>
      <c r="L27" s="7"/>
      <c r="M27" s="5" t="s">
        <v>190</v>
      </c>
      <c r="N27" s="5"/>
      <c r="O27" s="5">
        <v>0.1</v>
      </c>
      <c r="P27" s="5">
        <v>0.8</v>
      </c>
      <c r="Q27" s="5">
        <v>0.4</v>
      </c>
      <c r="R27" s="5" t="s">
        <v>191</v>
      </c>
      <c r="S27" s="5"/>
    </row>
    <row r="28" spans="1:24" ht="17" customHeight="1" x14ac:dyDescent="0.2">
      <c r="A28" s="9" t="s">
        <v>192</v>
      </c>
      <c r="B28" s="7" t="s">
        <v>24</v>
      </c>
      <c r="C28" s="3">
        <v>18</v>
      </c>
      <c r="D28" s="64">
        <v>500</v>
      </c>
      <c r="E28" s="22">
        <v>0.11</v>
      </c>
      <c r="F28" s="29">
        <v>0.2</v>
      </c>
      <c r="G28" s="5"/>
      <c r="H28" s="5"/>
      <c r="I28" s="5"/>
      <c r="J28" s="5"/>
      <c r="K28" s="7"/>
      <c r="L28" s="7"/>
      <c r="M28" s="5" t="s">
        <v>193</v>
      </c>
      <c r="N28" s="5"/>
      <c r="O28" s="5">
        <v>0.75</v>
      </c>
      <c r="P28" s="5">
        <v>0.05</v>
      </c>
      <c r="Q28" s="5">
        <v>0.08</v>
      </c>
      <c r="R28" s="5" t="s">
        <v>194</v>
      </c>
      <c r="S28" s="5"/>
      <c r="T28" s="7"/>
      <c r="U28" s="7"/>
      <c r="V28" s="7"/>
      <c r="W28" s="7"/>
      <c r="X28" s="7"/>
    </row>
    <row r="29" spans="1:24" ht="17" customHeight="1" x14ac:dyDescent="0.2">
      <c r="A29" s="79" t="s">
        <v>1</v>
      </c>
      <c r="B29" s="66">
        <f>D29/210</f>
        <v>2.9746531318562468</v>
      </c>
      <c r="C29" s="39" t="s">
        <v>111</v>
      </c>
      <c r="D29" s="64">
        <f>SUM(E29:T29)</f>
        <v>624.67715768981179</v>
      </c>
      <c r="E29" s="64">
        <f>1000*E28*E$6</f>
        <v>147.06521739130434</v>
      </c>
      <c r="F29" s="64">
        <f>1000*F28*F$6</f>
        <v>477.61194029850742</v>
      </c>
      <c r="G29" s="5"/>
      <c r="H29" s="5"/>
      <c r="I29" s="5"/>
      <c r="J29" s="5"/>
      <c r="K29" s="7"/>
      <c r="L29" s="7"/>
      <c r="M29" s="5"/>
      <c r="N29" s="5"/>
      <c r="O29" s="5"/>
      <c r="P29" s="5"/>
      <c r="Q29" s="14" t="s">
        <v>195</v>
      </c>
      <c r="R29" s="14" t="s">
        <v>65</v>
      </c>
      <c r="S29" s="14"/>
    </row>
    <row r="30" spans="1:24" ht="17" customHeight="1" x14ac:dyDescent="0.2">
      <c r="A30" s="11" t="s">
        <v>113</v>
      </c>
      <c r="B30" s="7" t="s">
        <v>24</v>
      </c>
      <c r="C30" s="3">
        <v>18</v>
      </c>
      <c r="D30" s="64">
        <f>548+M2+C30</f>
        <v>586</v>
      </c>
      <c r="E30" s="27">
        <v>0.09</v>
      </c>
      <c r="F30" s="27">
        <v>0.17</v>
      </c>
      <c r="G30" s="27">
        <v>7.0000000000000007E-2</v>
      </c>
      <c r="H30" s="27">
        <v>0.02</v>
      </c>
      <c r="I30" s="5"/>
      <c r="J30" s="5"/>
      <c r="K30" s="7"/>
      <c r="L30" s="9" t="s">
        <v>107</v>
      </c>
    </row>
    <row r="31" spans="1:24" ht="17" customHeight="1" x14ac:dyDescent="0.2">
      <c r="A31" s="61" t="s">
        <v>112</v>
      </c>
      <c r="B31" s="66">
        <f>D31/210</f>
        <v>3.1766487438583475</v>
      </c>
      <c r="C31" s="39" t="s">
        <v>111</v>
      </c>
      <c r="D31" s="64">
        <f>SUM(E31:T31)</f>
        <v>667.09623621025298</v>
      </c>
      <c r="E31" s="64">
        <f>1000*E30*E$6</f>
        <v>120.32608695652173</v>
      </c>
      <c r="F31" s="64">
        <f>1000*F30*F$6</f>
        <v>405.97014925373128</v>
      </c>
      <c r="G31" s="64">
        <f>1000*G30*G$6</f>
        <v>133</v>
      </c>
      <c r="H31" s="64">
        <f>1000*H30*H$6</f>
        <v>7.8000000000000007</v>
      </c>
      <c r="I31" s="5"/>
      <c r="J31" s="5"/>
      <c r="K31" s="7"/>
      <c r="L31" s="9" t="s">
        <v>21</v>
      </c>
    </row>
    <row r="32" spans="1:24" ht="17" customHeight="1" x14ac:dyDescent="0.2">
      <c r="A32" s="11" t="s">
        <v>22</v>
      </c>
      <c r="B32" s="7" t="s">
        <v>24</v>
      </c>
      <c r="C32" s="3">
        <v>18</v>
      </c>
      <c r="D32" s="19">
        <v>1000</v>
      </c>
      <c r="E32" s="5"/>
      <c r="F32" s="33">
        <v>7.3999999999999996E-2</v>
      </c>
      <c r="G32" s="32">
        <v>7.4999999999999997E-2</v>
      </c>
      <c r="H32" s="20">
        <v>0.1</v>
      </c>
      <c r="I32" s="5"/>
      <c r="J32" s="29">
        <v>0.17</v>
      </c>
      <c r="K32" s="7"/>
      <c r="L32" s="9" t="s">
        <v>115</v>
      </c>
      <c r="M32" s="7"/>
      <c r="N32" s="7"/>
      <c r="O32" s="7"/>
      <c r="P32" s="7"/>
      <c r="Q32" s="7"/>
      <c r="R32" s="7"/>
    </row>
    <row r="33" spans="1:29" ht="17" customHeight="1" x14ac:dyDescent="0.2">
      <c r="A33" s="61" t="s">
        <v>112</v>
      </c>
      <c r="B33" s="66">
        <f>D33/210</f>
        <v>1.7057924662402273</v>
      </c>
      <c r="C33" s="39" t="s">
        <v>111</v>
      </c>
      <c r="D33" s="64">
        <f>SUM(E33:T33)</f>
        <v>358.21641791044772</v>
      </c>
      <c r="E33" s="5"/>
      <c r="F33" s="64">
        <f>1000*F32*F$6</f>
        <v>176.71641791044775</v>
      </c>
      <c r="G33" s="64">
        <f>1000*G32*G$6</f>
        <v>142.5</v>
      </c>
      <c r="H33" s="64">
        <f>1000*H32*H$6</f>
        <v>39</v>
      </c>
      <c r="I33" s="19" t="s">
        <v>116</v>
      </c>
      <c r="J33" s="5"/>
      <c r="K33" s="7"/>
      <c r="L33" s="9" t="s">
        <v>150</v>
      </c>
      <c r="M33" s="7"/>
      <c r="N33" s="7"/>
      <c r="O33" s="7"/>
      <c r="P33" s="7"/>
      <c r="Q33" s="7"/>
      <c r="R33" s="7"/>
    </row>
    <row r="34" spans="1:29" ht="17" customHeight="1" x14ac:dyDescent="0.2">
      <c r="A34" s="9" t="s">
        <v>148</v>
      </c>
      <c r="B34" s="7" t="s">
        <v>24</v>
      </c>
      <c r="C34" s="3">
        <v>18</v>
      </c>
      <c r="D34" s="19">
        <v>950</v>
      </c>
      <c r="E34" s="5"/>
      <c r="F34" s="5"/>
      <c r="G34" s="29">
        <v>0.5</v>
      </c>
      <c r="H34" s="5"/>
      <c r="I34" s="5"/>
      <c r="J34" s="5"/>
      <c r="K34" s="7"/>
      <c r="L34" s="7"/>
      <c r="M34" s="7"/>
      <c r="N34" s="7"/>
      <c r="O34" s="7"/>
      <c r="P34" s="7"/>
      <c r="Q34" s="7"/>
      <c r="R34" s="7"/>
      <c r="S34" s="5"/>
      <c r="T34" s="7"/>
      <c r="U34" s="7"/>
      <c r="V34" s="7"/>
      <c r="W34" s="7"/>
      <c r="X34" s="7"/>
      <c r="Y34" s="34"/>
      <c r="Z34" s="7"/>
      <c r="AA34" s="35"/>
      <c r="AB34" s="7"/>
      <c r="AC34" s="7"/>
    </row>
    <row r="35" spans="1:29" ht="17" customHeight="1" x14ac:dyDescent="0.2">
      <c r="A35" s="79" t="s">
        <v>149</v>
      </c>
      <c r="B35" s="66">
        <f>D35/210</f>
        <v>4.5238095238095237</v>
      </c>
      <c r="C35" s="39" t="s">
        <v>111</v>
      </c>
      <c r="D35" s="64">
        <f>SUM(E35:T35)</f>
        <v>950</v>
      </c>
      <c r="E35" s="5"/>
      <c r="F35" s="5"/>
      <c r="G35" s="64">
        <f>1000*G34*G$6</f>
        <v>950</v>
      </c>
      <c r="H35" s="5"/>
      <c r="I35" s="5"/>
      <c r="J35" s="5"/>
      <c r="K35" s="7"/>
      <c r="L35" s="5" t="s">
        <v>117</v>
      </c>
      <c r="M35" s="5" t="s">
        <v>97</v>
      </c>
      <c r="N35" s="5" t="s">
        <v>118</v>
      </c>
      <c r="O35" s="5" t="s">
        <v>119</v>
      </c>
      <c r="P35" s="5" t="s">
        <v>120</v>
      </c>
      <c r="R35" s="11" t="s">
        <v>151</v>
      </c>
      <c r="S35" s="5"/>
      <c r="T35" s="85" t="s">
        <v>28</v>
      </c>
      <c r="U35" s="7"/>
      <c r="V35" s="7"/>
      <c r="W35" s="7"/>
      <c r="X35" s="7"/>
      <c r="Y35" s="34"/>
      <c r="Z35" s="7"/>
      <c r="AA35" s="7"/>
      <c r="AB35" s="7"/>
      <c r="AC35" s="28"/>
    </row>
    <row r="36" spans="1:29" ht="17" customHeight="1" x14ac:dyDescent="0.2">
      <c r="A36" s="9" t="s">
        <v>79</v>
      </c>
      <c r="B36" s="7" t="s">
        <v>24</v>
      </c>
      <c r="C36" s="3">
        <v>18</v>
      </c>
      <c r="D36" s="19">
        <v>390</v>
      </c>
      <c r="E36" s="5"/>
      <c r="F36" s="5"/>
      <c r="G36" s="5"/>
      <c r="H36" s="29">
        <v>1</v>
      </c>
      <c r="I36" s="5"/>
      <c r="J36" s="5"/>
      <c r="K36" s="7"/>
      <c r="L36" s="7" t="s">
        <v>80</v>
      </c>
      <c r="M36" s="5">
        <v>5.0000000000000001E-4</v>
      </c>
      <c r="N36" s="80">
        <v>1.12E-2</v>
      </c>
      <c r="O36" s="5" t="s">
        <v>81</v>
      </c>
      <c r="P36" s="5" t="s">
        <v>212</v>
      </c>
      <c r="Q36" s="5" t="s">
        <v>182</v>
      </c>
      <c r="R36" s="5"/>
      <c r="S36" s="5"/>
      <c r="T36" s="82" t="s">
        <v>199</v>
      </c>
      <c r="U36" s="7"/>
      <c r="V36" s="7"/>
      <c r="W36" s="7"/>
      <c r="X36" s="7"/>
      <c r="Y36" s="34"/>
      <c r="Z36" s="7"/>
      <c r="AA36" s="7"/>
      <c r="AB36" s="7"/>
      <c r="AC36" s="28"/>
    </row>
    <row r="37" spans="1:29" ht="17" customHeight="1" x14ac:dyDescent="0.2">
      <c r="A37" s="61" t="s">
        <v>112</v>
      </c>
      <c r="B37" s="66">
        <f>D37/210</f>
        <v>1.8572033333333333</v>
      </c>
      <c r="C37" s="39" t="s">
        <v>111</v>
      </c>
      <c r="D37" s="64">
        <f>SUM(E37:T37)</f>
        <v>390.0127</v>
      </c>
      <c r="E37" s="5"/>
      <c r="F37" s="5"/>
      <c r="G37" s="5"/>
      <c r="H37" s="64">
        <f>D36*H36</f>
        <v>390</v>
      </c>
      <c r="I37" s="5"/>
      <c r="J37" s="5"/>
      <c r="K37" s="7"/>
      <c r="L37" s="7" t="s">
        <v>183</v>
      </c>
      <c r="M37" s="5">
        <v>1E-4</v>
      </c>
      <c r="N37" s="80">
        <v>1.26E-2</v>
      </c>
      <c r="O37" s="5" t="s">
        <v>184</v>
      </c>
      <c r="P37" s="5" t="s">
        <v>185</v>
      </c>
      <c r="Q37" s="5" t="s">
        <v>186</v>
      </c>
      <c r="R37" s="5"/>
      <c r="S37" s="5"/>
      <c r="T37" s="82" t="s">
        <v>200</v>
      </c>
      <c r="U37" s="7"/>
      <c r="V37" s="7"/>
      <c r="W37" s="7"/>
      <c r="X37" s="7"/>
      <c r="Y37" s="34"/>
      <c r="Z37" s="7"/>
      <c r="AA37" s="7"/>
      <c r="AB37" s="7"/>
      <c r="AC37" s="28"/>
    </row>
    <row r="38" spans="1:29" ht="17" customHeight="1" x14ac:dyDescent="0.2">
      <c r="A38" s="11" t="s">
        <v>187</v>
      </c>
      <c r="B38" s="7" t="s">
        <v>24</v>
      </c>
      <c r="C38" s="3">
        <v>18</v>
      </c>
      <c r="D38" s="64">
        <f>250+M2+C38</f>
        <v>288</v>
      </c>
      <c r="E38" s="5"/>
      <c r="F38" s="5"/>
      <c r="G38" s="5"/>
      <c r="H38" s="29">
        <v>0.18</v>
      </c>
      <c r="I38" s="5"/>
      <c r="J38" s="29">
        <v>0.23</v>
      </c>
      <c r="K38" s="7"/>
      <c r="L38" s="7" t="s">
        <v>188</v>
      </c>
      <c r="M38" s="5">
        <v>3.0000000000000003E-4</v>
      </c>
      <c r="N38" s="80">
        <v>7.4000000000000003E-3</v>
      </c>
      <c r="O38" s="5" t="s">
        <v>184</v>
      </c>
      <c r="P38" s="5" t="s">
        <v>46</v>
      </c>
      <c r="Q38" s="5" t="s">
        <v>47</v>
      </c>
      <c r="R38" s="5"/>
      <c r="S38" s="5"/>
      <c r="T38" s="82" t="s">
        <v>201</v>
      </c>
      <c r="U38" s="7"/>
      <c r="V38" s="7"/>
      <c r="W38" s="7"/>
      <c r="X38" s="7"/>
      <c r="Y38" s="34"/>
      <c r="Z38" s="7"/>
      <c r="AA38" s="7"/>
      <c r="AB38" s="7"/>
      <c r="AC38" s="28"/>
    </row>
    <row r="39" spans="1:29" ht="17" customHeight="1" x14ac:dyDescent="0.2">
      <c r="A39" s="61" t="s">
        <v>112</v>
      </c>
      <c r="B39" s="66">
        <f>D39/210</f>
        <v>0.38584151603498545</v>
      </c>
      <c r="C39" s="39" t="s">
        <v>111</v>
      </c>
      <c r="D39" s="64">
        <f>SUM(E39:T39)</f>
        <v>81.026718367346945</v>
      </c>
      <c r="E39" s="5"/>
      <c r="F39" s="5"/>
      <c r="G39" s="5"/>
      <c r="H39" s="64">
        <f>1000*H38*H$6</f>
        <v>70.2</v>
      </c>
      <c r="I39" s="5"/>
      <c r="J39" s="64">
        <f>1000*J38*J$6</f>
        <v>10.795918367346939</v>
      </c>
      <c r="K39" s="7"/>
      <c r="L39" s="7" t="s">
        <v>48</v>
      </c>
      <c r="M39" s="5">
        <v>8.0000000000000004E-4</v>
      </c>
      <c r="N39" s="80">
        <v>0.03</v>
      </c>
      <c r="O39" s="5" t="s">
        <v>49</v>
      </c>
      <c r="P39" s="5" t="s">
        <v>50</v>
      </c>
      <c r="Q39" s="5" t="s">
        <v>51</v>
      </c>
      <c r="R39" s="5"/>
      <c r="S39" s="5"/>
      <c r="T39" s="82" t="s">
        <v>202</v>
      </c>
      <c r="U39" s="7"/>
      <c r="V39" s="7"/>
      <c r="W39" s="7"/>
      <c r="X39" s="7"/>
      <c r="Y39" s="7"/>
      <c r="Z39" s="7"/>
      <c r="AA39" s="7"/>
      <c r="AB39" s="7"/>
      <c r="AC39" s="28"/>
    </row>
    <row r="40" spans="1:29" ht="17" customHeight="1" x14ac:dyDescent="0.2">
      <c r="A40" s="11" t="s">
        <v>42</v>
      </c>
      <c r="B40" s="7" t="s">
        <v>24</v>
      </c>
      <c r="C40" s="3">
        <v>18</v>
      </c>
      <c r="D40" s="3">
        <v>99</v>
      </c>
      <c r="E40" s="5"/>
      <c r="F40" s="5"/>
      <c r="G40" s="5"/>
      <c r="H40" s="5"/>
      <c r="I40" s="20">
        <v>0.23</v>
      </c>
      <c r="J40" s="27">
        <v>0.24</v>
      </c>
      <c r="K40" s="7"/>
      <c r="L40" s="7" t="s">
        <v>52</v>
      </c>
      <c r="M40" s="5">
        <v>8.0000000000000007E-5</v>
      </c>
      <c r="N40" s="80">
        <v>4.1999999999999997E-3</v>
      </c>
      <c r="O40" s="5" t="s">
        <v>49</v>
      </c>
      <c r="P40" s="5" t="s">
        <v>50</v>
      </c>
      <c r="Q40" s="5" t="s">
        <v>53</v>
      </c>
      <c r="R40" s="5"/>
      <c r="S40" s="5"/>
      <c r="T40" s="82" t="s">
        <v>203</v>
      </c>
      <c r="U40" s="7"/>
      <c r="V40" s="7"/>
      <c r="W40" s="7"/>
      <c r="X40" s="7"/>
      <c r="Y40" s="7"/>
      <c r="Z40" s="7"/>
      <c r="AA40" s="7"/>
      <c r="AB40" s="7"/>
      <c r="AC40" s="28"/>
    </row>
    <row r="41" spans="1:29" ht="17" customHeight="1" x14ac:dyDescent="0.2">
      <c r="A41" s="61" t="s">
        <v>112</v>
      </c>
      <c r="B41" s="66">
        <f>D41/210</f>
        <v>0.47143716190476193</v>
      </c>
      <c r="C41" s="39" t="s">
        <v>111</v>
      </c>
      <c r="D41" s="64">
        <f>SUM(E41:T41)</f>
        <v>99.001804000000007</v>
      </c>
      <c r="E41" s="5"/>
      <c r="F41" s="5"/>
      <c r="G41" s="5"/>
      <c r="H41" s="5"/>
      <c r="I41" s="64">
        <f>1000*I40*I$6</f>
        <v>99</v>
      </c>
      <c r="J41" s="5"/>
      <c r="K41" s="7"/>
      <c r="L41" s="7" t="s">
        <v>54</v>
      </c>
      <c r="M41" s="5">
        <v>3.9999999999999998E-6</v>
      </c>
      <c r="N41" s="80">
        <v>1.8E-3</v>
      </c>
      <c r="O41" s="5" t="s">
        <v>49</v>
      </c>
      <c r="P41" s="5" t="s">
        <v>50</v>
      </c>
      <c r="Q41" s="5" t="s">
        <v>10</v>
      </c>
      <c r="R41" s="5"/>
      <c r="S41" s="5"/>
      <c r="T41" s="82" t="s">
        <v>204</v>
      </c>
      <c r="U41" s="7"/>
      <c r="V41" s="7"/>
      <c r="W41" s="7"/>
      <c r="X41" s="7"/>
      <c r="Y41" s="7"/>
      <c r="Z41" s="7"/>
      <c r="AA41" s="7"/>
      <c r="AB41" s="7"/>
      <c r="AC41" s="28"/>
    </row>
    <row r="42" spans="1:29" ht="17" customHeight="1" x14ac:dyDescent="0.2">
      <c r="A42" s="36" t="s">
        <v>11</v>
      </c>
      <c r="B42" s="7" t="s">
        <v>24</v>
      </c>
      <c r="C42" s="3">
        <v>18</v>
      </c>
      <c r="D42" s="64">
        <f>480+M2+C42</f>
        <v>518</v>
      </c>
      <c r="E42" s="5"/>
      <c r="F42" s="5"/>
      <c r="G42" s="5"/>
      <c r="H42" s="5"/>
      <c r="I42" s="5"/>
      <c r="J42" s="5"/>
      <c r="K42" s="7"/>
      <c r="L42" s="5"/>
      <c r="M42" s="5"/>
      <c r="N42" s="5"/>
      <c r="O42" s="5"/>
      <c r="P42" s="5"/>
      <c r="Q42" s="5"/>
      <c r="R42" s="5"/>
      <c r="S42" s="5"/>
      <c r="T42" s="82" t="s">
        <v>205</v>
      </c>
      <c r="U42" s="5"/>
      <c r="V42" s="5"/>
    </row>
    <row r="43" spans="1:29" ht="17" customHeight="1" x14ac:dyDescent="0.2">
      <c r="A43" s="61" t="s">
        <v>112</v>
      </c>
      <c r="B43" s="66">
        <f>D43/210</f>
        <v>0</v>
      </c>
      <c r="C43" s="39" t="s">
        <v>111</v>
      </c>
      <c r="D43" s="64">
        <f>SUM(E43:T43)</f>
        <v>0</v>
      </c>
      <c r="E43" s="5"/>
      <c r="F43" s="5"/>
      <c r="G43" s="5"/>
      <c r="H43" s="5"/>
      <c r="I43" s="5"/>
      <c r="J43" s="5"/>
      <c r="K43" s="7"/>
      <c r="L43" s="7"/>
      <c r="M43" s="7"/>
      <c r="N43" s="7"/>
      <c r="O43" s="37" t="s">
        <v>100</v>
      </c>
      <c r="P43" s="7"/>
      <c r="Q43" s="7"/>
      <c r="T43" s="83" t="s">
        <v>206</v>
      </c>
    </row>
    <row r="44" spans="1:29" ht="17" customHeight="1" x14ac:dyDescent="0.2">
      <c r="A44" s="11" t="s">
        <v>101</v>
      </c>
      <c r="B44" s="7" t="s">
        <v>24</v>
      </c>
      <c r="C44" s="3">
        <v>20</v>
      </c>
      <c r="D44" s="69">
        <f>35+M2+C44</f>
        <v>75</v>
      </c>
      <c r="E44" s="5"/>
      <c r="F44" s="5"/>
      <c r="G44" s="5"/>
      <c r="H44" s="5"/>
      <c r="I44" s="23">
        <v>7.0000000000000007E-2</v>
      </c>
      <c r="J44" s="23">
        <v>0.73</v>
      </c>
      <c r="K44" s="7"/>
      <c r="L44" s="7"/>
      <c r="M44" s="38"/>
      <c r="N44" s="21"/>
      <c r="O44" s="17" t="s">
        <v>102</v>
      </c>
      <c r="P44" s="7"/>
      <c r="Q44" s="7"/>
      <c r="T44" s="83" t="s">
        <v>207</v>
      </c>
    </row>
    <row r="45" spans="1:29" ht="17" customHeight="1" x14ac:dyDescent="0.2">
      <c r="A45" s="61" t="s">
        <v>112</v>
      </c>
      <c r="B45" s="66">
        <f>D45/210</f>
        <v>0.30664638526217941</v>
      </c>
      <c r="C45" s="39" t="s">
        <v>111</v>
      </c>
      <c r="D45" s="64">
        <f>SUM(E45:T45)</f>
        <v>64.395740905057679</v>
      </c>
      <c r="E45" s="5"/>
      <c r="F45" s="5"/>
      <c r="G45" s="5"/>
      <c r="H45" s="5"/>
      <c r="I45" s="64">
        <f>1000*I44*I$6</f>
        <v>30.130434782608695</v>
      </c>
      <c r="J45" s="64">
        <f>1000*J44*J$6</f>
        <v>34.265306122448983</v>
      </c>
      <c r="K45" s="7"/>
      <c r="L45" s="7"/>
      <c r="M45" s="38"/>
      <c r="N45" s="21"/>
      <c r="O45" s="7" t="s">
        <v>103</v>
      </c>
      <c r="P45" s="7"/>
      <c r="Q45" s="7"/>
      <c r="T45" s="83" t="s">
        <v>208</v>
      </c>
    </row>
    <row r="46" spans="1:29" ht="17" customHeight="1" x14ac:dyDescent="0.2">
      <c r="A46" s="11" t="s">
        <v>211</v>
      </c>
      <c r="B46" s="7" t="s">
        <v>24</v>
      </c>
      <c r="C46" s="3">
        <v>10</v>
      </c>
      <c r="D46" s="19">
        <v>158</v>
      </c>
      <c r="E46" s="19"/>
      <c r="F46" s="19"/>
      <c r="G46" s="19"/>
      <c r="H46" s="5"/>
      <c r="I46" s="20">
        <v>0.115</v>
      </c>
      <c r="J46" s="20">
        <v>0.24</v>
      </c>
      <c r="L46" s="5">
        <v>5</v>
      </c>
      <c r="M46" s="7"/>
      <c r="N46" s="7"/>
      <c r="O46" s="7" t="s">
        <v>104</v>
      </c>
      <c r="P46" s="7"/>
      <c r="Q46" s="7"/>
      <c r="S46" s="7"/>
      <c r="T46" s="83" t="s">
        <v>209</v>
      </c>
    </row>
    <row r="47" spans="1:29" ht="17" customHeight="1" x14ac:dyDescent="0.2">
      <c r="A47" s="79" t="str">
        <f>T36</f>
        <v>Typical Chemical Analysis Magnesium Carbonate 36 – 41%</v>
      </c>
      <c r="B47" s="66">
        <f>D47/210</f>
        <v>0.28935860058309038</v>
      </c>
      <c r="C47" s="39" t="s">
        <v>111</v>
      </c>
      <c r="D47" s="64">
        <f>SUM(E47:T47)</f>
        <v>60.765306122448976</v>
      </c>
      <c r="E47" s="5"/>
      <c r="F47" s="5"/>
      <c r="G47" s="5"/>
      <c r="H47" s="5"/>
      <c r="I47" s="64">
        <f>1000*I46*I$6</f>
        <v>49.5</v>
      </c>
      <c r="J47" s="64">
        <f>1000*J46*J$6</f>
        <v>11.26530612244898</v>
      </c>
      <c r="L47" s="5" t="s">
        <v>197</v>
      </c>
      <c r="M47" s="7"/>
      <c r="N47" s="7"/>
      <c r="O47" s="28" t="s">
        <v>218</v>
      </c>
      <c r="P47" s="7"/>
      <c r="Q47" s="7"/>
      <c r="S47" s="7"/>
      <c r="T47" s="84" t="s">
        <v>210</v>
      </c>
    </row>
    <row r="48" spans="1:29" ht="17" customHeight="1" x14ac:dyDescent="0.2">
      <c r="A48" s="9" t="s">
        <v>219</v>
      </c>
      <c r="B48" s="7" t="s">
        <v>175</v>
      </c>
      <c r="C48" s="3">
        <v>20</v>
      </c>
      <c r="D48" s="64">
        <f>26+C48</f>
        <v>46</v>
      </c>
      <c r="E48" s="11" t="s">
        <v>25</v>
      </c>
      <c r="F48" s="5"/>
      <c r="G48" s="5"/>
      <c r="H48" s="5"/>
      <c r="I48" s="25">
        <v>1.75E-3</v>
      </c>
      <c r="J48" s="29">
        <v>0.98</v>
      </c>
      <c r="K48" s="7"/>
      <c r="L48" s="7"/>
      <c r="M48" s="38"/>
      <c r="N48" s="21"/>
      <c r="O48" s="7" t="s">
        <v>220</v>
      </c>
      <c r="P48" s="7"/>
      <c r="Q48" s="39"/>
      <c r="S48" s="7"/>
      <c r="T48" s="81"/>
      <c r="U48" s="7"/>
      <c r="V48" s="7"/>
      <c r="W48" s="7"/>
      <c r="X48" s="17"/>
    </row>
    <row r="49" spans="1:24" ht="17" customHeight="1" x14ac:dyDescent="0.2">
      <c r="A49" s="61" t="s">
        <v>112</v>
      </c>
      <c r="B49" s="66">
        <f>D49/210</f>
        <v>0.22263457556935817</v>
      </c>
      <c r="C49" s="39" t="s">
        <v>111</v>
      </c>
      <c r="D49" s="64">
        <f>SUM(E49:T49)</f>
        <v>46.753260869565217</v>
      </c>
      <c r="E49" s="5"/>
      <c r="F49" s="5"/>
      <c r="G49" s="5"/>
      <c r="H49" s="5"/>
      <c r="I49" s="63">
        <f>1000*I48*I$6</f>
        <v>0.75326086956521743</v>
      </c>
      <c r="J49" s="64">
        <f>1000*J48*J$6</f>
        <v>46</v>
      </c>
      <c r="K49" s="7"/>
      <c r="L49" s="7"/>
      <c r="M49" s="38"/>
      <c r="N49" s="21"/>
      <c r="O49" s="28" t="s">
        <v>143</v>
      </c>
      <c r="P49" s="7"/>
      <c r="Q49" s="7"/>
      <c r="S49" s="7"/>
      <c r="T49" s="7"/>
      <c r="U49" s="7"/>
      <c r="V49" s="7"/>
      <c r="W49" s="7"/>
      <c r="X49" s="17"/>
    </row>
    <row r="50" spans="1:24" ht="17" customHeight="1" x14ac:dyDescent="0.2">
      <c r="A50" s="9" t="s">
        <v>144</v>
      </c>
      <c r="B50" s="7" t="s">
        <v>175</v>
      </c>
      <c r="C50" s="3"/>
      <c r="D50" s="27" t="s">
        <v>145</v>
      </c>
      <c r="E50" s="25">
        <v>5.0000000000000001E-4</v>
      </c>
      <c r="F50" s="25">
        <v>1E-4</v>
      </c>
      <c r="G50" s="25">
        <v>3.0000000000000003E-4</v>
      </c>
      <c r="H50" s="71">
        <f>G50/6</f>
        <v>5.0000000000000002E-5</v>
      </c>
      <c r="I50" s="25"/>
      <c r="J50" s="25">
        <v>2.0000000000000001E-4</v>
      </c>
      <c r="K50" s="40"/>
      <c r="L50" s="28"/>
      <c r="M50" s="5"/>
      <c r="N50" s="41"/>
      <c r="O50" s="40"/>
      <c r="P50" s="7"/>
      <c r="Q50" s="7"/>
      <c r="S50" s="7"/>
      <c r="T50" s="86" t="s">
        <v>146</v>
      </c>
    </row>
    <row r="51" spans="1:24" ht="17" customHeight="1" x14ac:dyDescent="0.2">
      <c r="A51" s="61" t="s">
        <v>112</v>
      </c>
      <c r="B51" s="66">
        <f>D51/210</f>
        <v>4.0164586296556257E-4</v>
      </c>
      <c r="C51" s="39" t="s">
        <v>111</v>
      </c>
      <c r="D51" s="63">
        <f>SUM(E51:T51)</f>
        <v>8.4345631222768142E-2</v>
      </c>
      <c r="E51" s="63">
        <f>E6*200*E50*280/1000</f>
        <v>3.7434782608695656E-2</v>
      </c>
      <c r="F51" s="63">
        <f>F6*200*F50*280/1000</f>
        <v>1.3373134328358209E-2</v>
      </c>
      <c r="G51" s="63">
        <f>G6*200*G50*280/1000</f>
        <v>3.1920000000000004E-2</v>
      </c>
      <c r="H51" s="63">
        <f>H6*200*H50*280/1000</f>
        <v>1.0920000000000001E-3</v>
      </c>
      <c r="I51" s="3"/>
      <c r="J51" s="63">
        <f>J6*200*J50*280/1000</f>
        <v>5.2571428571428582E-4</v>
      </c>
      <c r="K51" s="40"/>
      <c r="L51" s="7"/>
      <c r="M51" s="7"/>
      <c r="N51" s="42"/>
      <c r="O51" s="40"/>
      <c r="P51" s="7"/>
      <c r="Q51" s="39"/>
      <c r="S51" s="43"/>
      <c r="T51" s="87" t="s">
        <v>147</v>
      </c>
    </row>
    <row r="52" spans="1:24" ht="17" customHeight="1" x14ac:dyDescent="0.2">
      <c r="A52" s="9" t="s">
        <v>165</v>
      </c>
      <c r="B52" s="7" t="s">
        <v>175</v>
      </c>
      <c r="C52" s="3"/>
      <c r="D52" s="63">
        <f>SUM(E52:K52)</f>
        <v>9.2780194345044975E-2</v>
      </c>
      <c r="E52" s="63">
        <f>E51*1.1</f>
        <v>4.1178260869565227E-2</v>
      </c>
      <c r="F52" s="63">
        <f>F51*1.1</f>
        <v>1.4710447761194031E-2</v>
      </c>
      <c r="G52" s="63">
        <f>G51*1.1</f>
        <v>3.5112000000000004E-2</v>
      </c>
      <c r="H52" s="63">
        <f>H51*1.1</f>
        <v>1.2012000000000001E-3</v>
      </c>
      <c r="I52" s="5"/>
      <c r="J52" s="63">
        <f>J51*1.1</f>
        <v>5.7828571428571445E-4</v>
      </c>
      <c r="K52" s="7"/>
      <c r="L52" s="70">
        <f>D52*200*280</f>
        <v>5195.6908833225179</v>
      </c>
      <c r="M52" s="11" t="s">
        <v>166</v>
      </c>
      <c r="N52" s="7"/>
      <c r="O52" s="7"/>
      <c r="P52" s="7"/>
      <c r="Q52" s="7"/>
      <c r="S52" s="7"/>
      <c r="T52" s="87" t="s">
        <v>167</v>
      </c>
    </row>
    <row r="53" spans="1:24" ht="17" customHeight="1" x14ac:dyDescent="0.2">
      <c r="A53" s="44" t="s">
        <v>168</v>
      </c>
      <c r="B53" s="7" t="s">
        <v>24</v>
      </c>
      <c r="C53" s="3">
        <v>12</v>
      </c>
      <c r="D53" s="27" t="s">
        <v>145</v>
      </c>
      <c r="E53" s="32">
        <v>0.08</v>
      </c>
      <c r="F53" s="27">
        <v>0.03</v>
      </c>
      <c r="G53" s="27">
        <v>0.05</v>
      </c>
      <c r="H53" s="71">
        <f>E53/6</f>
        <v>1.3333333333333334E-2</v>
      </c>
      <c r="I53" s="27"/>
      <c r="J53" s="16"/>
      <c r="K53" s="34"/>
      <c r="L53" s="70">
        <f t="shared" ref="L53:Q53" si="0">E52*200*280</f>
        <v>2305.9826086956527</v>
      </c>
      <c r="M53" s="70">
        <f t="shared" si="0"/>
        <v>823.78507462686582</v>
      </c>
      <c r="N53" s="70">
        <f t="shared" si="0"/>
        <v>1966.2720000000004</v>
      </c>
      <c r="O53" s="70">
        <f t="shared" si="0"/>
        <v>67.267200000000017</v>
      </c>
      <c r="P53" s="70">
        <f t="shared" si="0"/>
        <v>0</v>
      </c>
      <c r="Q53" s="70">
        <f t="shared" si="0"/>
        <v>32.384000000000007</v>
      </c>
      <c r="S53" s="34"/>
      <c r="T53" s="87" t="s">
        <v>16</v>
      </c>
    </row>
    <row r="54" spans="1:24" ht="17" customHeight="1" x14ac:dyDescent="0.2">
      <c r="A54" s="61" t="s">
        <v>112</v>
      </c>
      <c r="B54" s="66">
        <f>D54/210</f>
        <v>1.3276110132566976</v>
      </c>
      <c r="C54" s="39" t="s">
        <v>111</v>
      </c>
      <c r="D54" s="64">
        <f>SUM(E54:T54)</f>
        <v>278.79831278390651</v>
      </c>
      <c r="E54" s="64">
        <f>1000*E53*E$6</f>
        <v>106.95652173913044</v>
      </c>
      <c r="F54" s="64">
        <f>1000*F53*F$6</f>
        <v>71.641791044776113</v>
      </c>
      <c r="G54" s="64">
        <f>1000*G53*G$6</f>
        <v>95</v>
      </c>
      <c r="H54" s="64">
        <f>1000*H53*H$6</f>
        <v>5.2</v>
      </c>
      <c r="I54" s="27"/>
      <c r="J54" s="5"/>
      <c r="K54" s="7"/>
      <c r="L54" s="10" t="s">
        <v>59</v>
      </c>
      <c r="M54" s="7" t="s">
        <v>62</v>
      </c>
      <c r="N54" s="7" t="s">
        <v>190</v>
      </c>
      <c r="O54" s="7" t="s">
        <v>17</v>
      </c>
      <c r="P54" s="34" t="s">
        <v>18</v>
      </c>
      <c r="Q54" s="34" t="s">
        <v>193</v>
      </c>
      <c r="S54" s="34"/>
      <c r="T54" s="87" t="s">
        <v>19</v>
      </c>
    </row>
    <row r="55" spans="1:24" ht="17" customHeight="1" x14ac:dyDescent="0.2">
      <c r="A55" s="44" t="s">
        <v>20</v>
      </c>
      <c r="B55" s="7" t="s">
        <v>24</v>
      </c>
      <c r="C55" s="3">
        <v>12</v>
      </c>
      <c r="D55" s="27" t="s">
        <v>145</v>
      </c>
      <c r="E55" s="32">
        <v>7.0000000000000007E-2</v>
      </c>
      <c r="F55" s="27">
        <v>0.02</v>
      </c>
      <c r="G55" s="27">
        <v>0.06</v>
      </c>
      <c r="H55" s="27"/>
      <c r="I55" s="27"/>
      <c r="J55" s="5"/>
      <c r="K55" s="7"/>
      <c r="L55" s="10"/>
      <c r="M55" s="7"/>
      <c r="N55" s="7"/>
      <c r="O55" s="7"/>
      <c r="P55" s="34"/>
      <c r="Q55" s="34"/>
      <c r="S55" s="34"/>
      <c r="T55" s="86" t="s">
        <v>128</v>
      </c>
    </row>
    <row r="56" spans="1:24" ht="17" customHeight="1" x14ac:dyDescent="0.2">
      <c r="A56" s="61" t="s">
        <v>112</v>
      </c>
      <c r="B56" s="66">
        <f>D56/210</f>
        <v>1.2159435740551898</v>
      </c>
      <c r="C56" s="39" t="s">
        <v>111</v>
      </c>
      <c r="D56" s="64">
        <f>SUM(E56:T56)</f>
        <v>255.34815055158987</v>
      </c>
      <c r="E56" s="64">
        <f>1000*E55*E$6</f>
        <v>93.586956521739125</v>
      </c>
      <c r="F56" s="64">
        <f>1000*F55*F$6</f>
        <v>47.761194029850742</v>
      </c>
      <c r="G56" s="64">
        <f>1000*G55*G$6</f>
        <v>114</v>
      </c>
      <c r="H56" s="27"/>
      <c r="I56" s="27"/>
      <c r="J56" s="5"/>
      <c r="K56" s="7"/>
      <c r="L56" s="7"/>
      <c r="M56" s="7"/>
      <c r="N56" s="7"/>
      <c r="O56" s="7"/>
      <c r="P56" s="34"/>
      <c r="Q56" s="34"/>
      <c r="S56" s="34"/>
      <c r="T56" s="87" t="s">
        <v>129</v>
      </c>
    </row>
    <row r="57" spans="1:24" ht="17" customHeight="1" x14ac:dyDescent="0.2">
      <c r="A57" s="9" t="s">
        <v>124</v>
      </c>
      <c r="B57" s="7" t="s">
        <v>24</v>
      </c>
      <c r="C57" s="3">
        <v>100</v>
      </c>
      <c r="D57" s="27" t="s">
        <v>145</v>
      </c>
      <c r="E57" s="23">
        <v>0.04</v>
      </c>
      <c r="F57" s="23">
        <v>2.5000000000000001E-2</v>
      </c>
      <c r="G57" s="23">
        <v>1.4999999999999999E-2</v>
      </c>
      <c r="H57" s="23">
        <v>4.8999999999999998E-3</v>
      </c>
      <c r="I57" s="23">
        <v>4.3E-3</v>
      </c>
      <c r="J57" s="23">
        <v>4.3999999999999997E-2</v>
      </c>
      <c r="K57" s="7"/>
      <c r="L57" s="41">
        <v>5.3999999999999998E-5</v>
      </c>
      <c r="M57" s="41"/>
      <c r="N57" s="41">
        <v>6.7999999999999999E-5</v>
      </c>
      <c r="O57" s="7"/>
      <c r="P57" s="7"/>
      <c r="Q57" s="7"/>
      <c r="S57" s="41">
        <v>2.7999999999999998E-4</v>
      </c>
      <c r="T57" s="86" t="s">
        <v>37</v>
      </c>
    </row>
    <row r="58" spans="1:24" ht="17" customHeight="1" x14ac:dyDescent="0.2">
      <c r="A58" s="61" t="s">
        <v>164</v>
      </c>
      <c r="B58" s="66">
        <f>D58/210</f>
        <v>0.85847960463491868</v>
      </c>
      <c r="C58" s="39" t="s">
        <v>111</v>
      </c>
      <c r="D58" s="64">
        <f>SUM(E58:T58)</f>
        <v>180.28071697333291</v>
      </c>
      <c r="E58" s="64">
        <f t="shared" ref="E58:J58" si="1">1000*E57*E$6</f>
        <v>53.478260869565219</v>
      </c>
      <c r="F58" s="64">
        <f t="shared" si="1"/>
        <v>59.701492537313428</v>
      </c>
      <c r="G58" s="64">
        <f t="shared" si="1"/>
        <v>28.5</v>
      </c>
      <c r="H58" s="64">
        <f t="shared" si="1"/>
        <v>1.9109999999999998</v>
      </c>
      <c r="I58" s="64">
        <f t="shared" si="1"/>
        <v>1.8508695652173912</v>
      </c>
      <c r="J58" s="64">
        <f t="shared" si="1"/>
        <v>2.0653061224489795</v>
      </c>
      <c r="K58" s="78">
        <v>30</v>
      </c>
      <c r="L58" s="67">
        <f>1000*L57*L$6</f>
        <v>0.78545454545454541</v>
      </c>
      <c r="M58" s="38"/>
      <c r="N58" s="67">
        <f>1000*N57*N$6</f>
        <v>0.70833333333333337</v>
      </c>
      <c r="O58" s="7"/>
      <c r="P58" s="7"/>
      <c r="Q58" s="7"/>
      <c r="S58" s="63">
        <f>1000*S57*S$6</f>
        <v>1.2799999999999998</v>
      </c>
      <c r="T58" s="87" t="s">
        <v>217</v>
      </c>
    </row>
    <row r="59" spans="1:24" ht="17" customHeight="1" x14ac:dyDescent="0.2">
      <c r="A59" s="9" t="s">
        <v>163</v>
      </c>
      <c r="B59" s="7" t="s">
        <v>24</v>
      </c>
      <c r="C59" s="3">
        <v>50</v>
      </c>
      <c r="D59" s="5"/>
      <c r="E59" s="23">
        <v>0.02</v>
      </c>
      <c r="F59" s="23">
        <v>0.01</v>
      </c>
      <c r="G59" s="23">
        <v>5.0000000000000001E-3</v>
      </c>
      <c r="H59" s="23">
        <v>4.0000000000000001E-3</v>
      </c>
      <c r="I59" s="25">
        <v>3.0000000000000001E-3</v>
      </c>
      <c r="J59" s="23">
        <v>4.2999999999999997E-2</v>
      </c>
      <c r="K59" s="78"/>
      <c r="L59" s="7"/>
      <c r="M59" s="7"/>
      <c r="N59" s="21"/>
      <c r="O59" s="7"/>
      <c r="P59" s="7"/>
      <c r="Q59" s="7"/>
      <c r="R59" s="13"/>
      <c r="S59" s="7"/>
      <c r="T59" s="87" t="s">
        <v>82</v>
      </c>
    </row>
    <row r="60" spans="1:24" ht="17" customHeight="1" x14ac:dyDescent="0.2">
      <c r="A60" s="61" t="s">
        <v>112</v>
      </c>
      <c r="B60" s="66">
        <f>D60/210</f>
        <v>0.4047114244974897</v>
      </c>
      <c r="C60" s="39" t="s">
        <v>111</v>
      </c>
      <c r="D60" s="64">
        <f>SUM(E60:T60)</f>
        <v>84.989399144472841</v>
      </c>
      <c r="E60" s="64">
        <f t="shared" ref="E60:J60" si="2">1000*E59*E$6</f>
        <v>26.739130434782609</v>
      </c>
      <c r="F60" s="64">
        <f t="shared" si="2"/>
        <v>23.880597014925371</v>
      </c>
      <c r="G60" s="64">
        <f t="shared" si="2"/>
        <v>9.5</v>
      </c>
      <c r="H60" s="64">
        <f t="shared" si="2"/>
        <v>1.56</v>
      </c>
      <c r="I60" s="64">
        <f t="shared" si="2"/>
        <v>1.2913043478260871</v>
      </c>
      <c r="J60" s="64">
        <f t="shared" si="2"/>
        <v>2.0183673469387755</v>
      </c>
      <c r="K60" s="78">
        <v>20</v>
      </c>
      <c r="L60" s="7"/>
      <c r="M60" s="7"/>
      <c r="N60" s="21"/>
      <c r="O60" s="7"/>
      <c r="P60" s="7"/>
      <c r="Q60" s="7"/>
      <c r="R60" s="41"/>
      <c r="S60" s="7"/>
      <c r="T60" s="7"/>
    </row>
    <row r="61" spans="1:24" ht="17" customHeight="1" x14ac:dyDescent="0.2">
      <c r="A61" s="9" t="s">
        <v>83</v>
      </c>
      <c r="B61" s="7" t="s">
        <v>24</v>
      </c>
      <c r="C61" s="3">
        <v>25</v>
      </c>
      <c r="D61" s="27" t="s">
        <v>145</v>
      </c>
      <c r="E61" s="22">
        <v>0.09</v>
      </c>
      <c r="F61" s="29">
        <v>0.03</v>
      </c>
      <c r="G61" s="29">
        <v>0.09</v>
      </c>
    </row>
    <row r="62" spans="1:24" ht="17" customHeight="1" x14ac:dyDescent="0.2">
      <c r="A62" s="61" t="s">
        <v>112</v>
      </c>
      <c r="B62" s="66">
        <f>D62/210</f>
        <v>1.7284184666728468</v>
      </c>
      <c r="C62" s="39" t="s">
        <v>111</v>
      </c>
      <c r="D62" s="64">
        <f>SUM(E62:T62)</f>
        <v>362.96787800129783</v>
      </c>
      <c r="E62" s="64">
        <f>1000*E61*E$6</f>
        <v>120.32608695652173</v>
      </c>
      <c r="F62" s="64">
        <f>1000*F61*F$6</f>
        <v>71.641791044776113</v>
      </c>
      <c r="G62" s="64">
        <f>1000*G61*G$6</f>
        <v>171</v>
      </c>
    </row>
    <row r="63" spans="1:24" ht="17" customHeight="1" x14ac:dyDescent="0.2">
      <c r="A63" s="11" t="s">
        <v>84</v>
      </c>
      <c r="B63" s="7" t="s">
        <v>24</v>
      </c>
      <c r="C63" s="3">
        <v>40</v>
      </c>
      <c r="D63" s="64">
        <f>2000+M2+C63</f>
        <v>2060</v>
      </c>
      <c r="E63" s="20">
        <v>0.08</v>
      </c>
      <c r="F63" s="23">
        <v>0.06</v>
      </c>
      <c r="G63" s="23">
        <v>0.06</v>
      </c>
      <c r="H63" s="5"/>
      <c r="I63" s="5"/>
      <c r="J63" s="5"/>
      <c r="K63" s="7"/>
      <c r="L63" s="7"/>
      <c r="M63" s="7"/>
      <c r="N63" s="45"/>
      <c r="O63" s="7"/>
      <c r="P63" s="7"/>
      <c r="Q63" s="7"/>
      <c r="R63" s="7"/>
      <c r="S63" s="7"/>
      <c r="T63" s="7"/>
    </row>
    <row r="64" spans="1:24" ht="17" customHeight="1" x14ac:dyDescent="0.2">
      <c r="A64" s="61" t="s">
        <v>112</v>
      </c>
      <c r="B64" s="66">
        <f>D64/210</f>
        <v>1.7344766848984889</v>
      </c>
      <c r="C64" s="39" t="s">
        <v>111</v>
      </c>
      <c r="D64" s="64">
        <f>SUM(E64:T64)</f>
        <v>364.24010382868266</v>
      </c>
      <c r="E64" s="64">
        <f>1000*E63*E$6</f>
        <v>106.95652173913044</v>
      </c>
      <c r="F64" s="64">
        <f>1000*F63*F$6</f>
        <v>143.28358208955223</v>
      </c>
      <c r="G64" s="64">
        <f>1000*G63*G$6</f>
        <v>114</v>
      </c>
      <c r="H64" s="5"/>
      <c r="I64" s="5"/>
      <c r="J64" s="5"/>
      <c r="K64" s="7"/>
      <c r="L64" s="7"/>
      <c r="M64" s="7"/>
      <c r="N64" s="45"/>
      <c r="O64" s="7"/>
      <c r="P64" s="46"/>
      <c r="Q64" s="39"/>
      <c r="R64" s="46"/>
      <c r="S64" s="7"/>
      <c r="T64" s="7"/>
    </row>
    <row r="65" spans="1:24" ht="17" customHeight="1" x14ac:dyDescent="0.2">
      <c r="A65" s="47" t="s">
        <v>85</v>
      </c>
      <c r="B65" s="7" t="s">
        <v>24</v>
      </c>
      <c r="C65" s="3">
        <v>18</v>
      </c>
      <c r="D65" s="19">
        <v>1600</v>
      </c>
      <c r="E65" s="5"/>
      <c r="F65" s="5"/>
      <c r="G65" s="5"/>
      <c r="H65" s="5"/>
      <c r="I65" s="5"/>
      <c r="J65" s="5"/>
      <c r="K65" s="7"/>
      <c r="L65" s="26">
        <v>0.11</v>
      </c>
      <c r="M65" s="7"/>
      <c r="N65" s="7"/>
      <c r="O65" s="7"/>
      <c r="P65" s="21"/>
      <c r="Q65" s="10"/>
      <c r="R65" s="45"/>
      <c r="S65" s="7"/>
      <c r="T65" s="7"/>
    </row>
    <row r="66" spans="1:24" ht="17" customHeight="1" x14ac:dyDescent="0.2">
      <c r="A66" s="61" t="s">
        <v>112</v>
      </c>
      <c r="B66" s="66">
        <f>D66/210</f>
        <v>7.6190476190476186</v>
      </c>
      <c r="C66" s="39" t="s">
        <v>111</v>
      </c>
      <c r="D66" s="64">
        <f>SUM(E66:T66)</f>
        <v>1600</v>
      </c>
      <c r="E66" s="5"/>
      <c r="F66" s="5"/>
      <c r="G66" s="5"/>
      <c r="H66" s="5"/>
      <c r="I66" s="5"/>
      <c r="J66" s="5"/>
      <c r="K66" s="7"/>
      <c r="L66" s="70">
        <f>1000*L65*L$6</f>
        <v>1600</v>
      </c>
      <c r="M66" s="7"/>
      <c r="N66" s="7"/>
      <c r="O66" s="7"/>
      <c r="P66" s="21"/>
      <c r="Q66" s="10"/>
      <c r="R66" s="45"/>
      <c r="S66" s="7"/>
      <c r="T66" s="7"/>
    </row>
    <row r="67" spans="1:24" ht="17" customHeight="1" x14ac:dyDescent="0.2">
      <c r="A67" s="47" t="s">
        <v>86</v>
      </c>
      <c r="B67" s="7" t="s">
        <v>24</v>
      </c>
      <c r="C67" s="3">
        <v>18</v>
      </c>
      <c r="D67" s="19">
        <v>20000</v>
      </c>
      <c r="E67" s="5"/>
      <c r="F67" s="5"/>
      <c r="G67" s="5"/>
      <c r="H67" s="5"/>
      <c r="I67" s="5"/>
      <c r="J67" s="5"/>
      <c r="K67" s="7"/>
      <c r="L67" s="7"/>
      <c r="M67" s="26">
        <v>0.21</v>
      </c>
      <c r="N67" s="7"/>
      <c r="O67" s="7"/>
      <c r="P67" s="7"/>
      <c r="Q67" s="10"/>
      <c r="R67" s="7"/>
      <c r="S67" s="7"/>
      <c r="T67" s="7"/>
    </row>
    <row r="68" spans="1:24" ht="17" customHeight="1" x14ac:dyDescent="0.2">
      <c r="A68" s="61" t="s">
        <v>112</v>
      </c>
      <c r="B68" s="66">
        <f>D68/210</f>
        <v>95.238095238095241</v>
      </c>
      <c r="C68" s="39" t="s">
        <v>111</v>
      </c>
      <c r="D68" s="64">
        <f>SUM(E68:T68)</f>
        <v>20000</v>
      </c>
      <c r="E68" s="5"/>
      <c r="F68" s="5"/>
      <c r="G68" s="5"/>
      <c r="H68" s="5"/>
      <c r="I68" s="5"/>
      <c r="J68" s="5"/>
      <c r="K68" s="7"/>
      <c r="L68" s="7"/>
      <c r="M68" s="72">
        <f>1000*M67*M$6</f>
        <v>20000</v>
      </c>
      <c r="N68" s="7"/>
      <c r="O68" s="46"/>
      <c r="P68" s="46"/>
      <c r="Q68" s="10"/>
      <c r="R68" s="45"/>
      <c r="S68" s="7"/>
      <c r="T68" s="7"/>
    </row>
    <row r="69" spans="1:24" ht="17" customHeight="1" x14ac:dyDescent="0.2">
      <c r="A69" s="47" t="s">
        <v>87</v>
      </c>
      <c r="B69" s="7" t="s">
        <v>24</v>
      </c>
      <c r="C69" s="3">
        <v>18</v>
      </c>
      <c r="D69" s="19">
        <v>2500</v>
      </c>
      <c r="E69" s="5"/>
      <c r="F69" s="5"/>
      <c r="G69" s="5"/>
      <c r="H69" s="5"/>
      <c r="I69" s="5"/>
      <c r="J69" s="5"/>
      <c r="K69" s="7"/>
      <c r="L69" s="7"/>
      <c r="M69" s="7"/>
      <c r="N69" s="26">
        <v>0.24</v>
      </c>
      <c r="O69" s="7"/>
      <c r="P69" s="21"/>
      <c r="Q69" s="10"/>
      <c r="R69" s="45"/>
      <c r="S69" s="46"/>
      <c r="T69" s="7"/>
      <c r="U69" s="7"/>
      <c r="V69" s="7"/>
      <c r="W69" s="7"/>
      <c r="X69" s="7"/>
    </row>
    <row r="70" spans="1:24" ht="17" customHeight="1" x14ac:dyDescent="0.2">
      <c r="A70" s="61" t="s">
        <v>112</v>
      </c>
      <c r="B70" s="66">
        <f>D70/210</f>
        <v>11.904761904761905</v>
      </c>
      <c r="C70" s="39" t="s">
        <v>111</v>
      </c>
      <c r="D70" s="64">
        <f>SUM(E70:T70)</f>
        <v>2500</v>
      </c>
      <c r="E70" s="5"/>
      <c r="F70" s="5"/>
      <c r="G70" s="5"/>
      <c r="H70" s="5"/>
      <c r="I70" s="5"/>
      <c r="J70" s="5"/>
      <c r="K70" s="7"/>
      <c r="L70" s="7"/>
      <c r="M70" s="7"/>
      <c r="N70" s="70">
        <f>1000*N69*N$6</f>
        <v>2500</v>
      </c>
      <c r="O70" s="7"/>
      <c r="P70" s="7"/>
      <c r="Q70" s="10"/>
      <c r="R70" s="7"/>
      <c r="S70" s="45"/>
      <c r="T70" s="7"/>
      <c r="U70" s="7"/>
      <c r="V70" s="7"/>
      <c r="W70" s="7"/>
      <c r="X70" s="7"/>
    </row>
    <row r="71" spans="1:24" ht="17" customHeight="1" x14ac:dyDescent="0.2">
      <c r="A71" s="47" t="s">
        <v>67</v>
      </c>
      <c r="B71" s="7" t="s">
        <v>24</v>
      </c>
      <c r="C71" s="3">
        <v>18</v>
      </c>
      <c r="D71" s="19">
        <v>30000</v>
      </c>
      <c r="E71" s="5"/>
      <c r="F71" s="5"/>
      <c r="G71" s="5"/>
      <c r="H71" s="5"/>
      <c r="I71" s="5"/>
      <c r="J71" s="5"/>
      <c r="K71" s="7"/>
      <c r="L71" s="7"/>
      <c r="M71" s="7"/>
      <c r="N71" s="10"/>
      <c r="O71" s="26">
        <v>1</v>
      </c>
      <c r="P71" s="7"/>
      <c r="Q71" s="10"/>
      <c r="R71" s="7"/>
      <c r="S71" s="45"/>
      <c r="T71" s="7"/>
      <c r="U71" s="7"/>
      <c r="V71" s="7"/>
      <c r="W71" s="7"/>
      <c r="X71" s="7"/>
    </row>
    <row r="72" spans="1:24" ht="17" customHeight="1" x14ac:dyDescent="0.2">
      <c r="A72" s="61" t="s">
        <v>112</v>
      </c>
      <c r="B72" s="66">
        <f>D72/210</f>
        <v>142.85714285714286</v>
      </c>
      <c r="C72" s="39" t="s">
        <v>111</v>
      </c>
      <c r="D72" s="64">
        <f>SUM(E72:T72)</f>
        <v>30000</v>
      </c>
      <c r="E72" s="5"/>
      <c r="F72" s="5"/>
      <c r="G72" s="5"/>
      <c r="H72" s="5"/>
      <c r="I72" s="5"/>
      <c r="J72" s="5"/>
      <c r="K72" s="7"/>
      <c r="L72" s="7"/>
      <c r="M72" s="7"/>
      <c r="N72" s="7"/>
      <c r="O72" s="70">
        <f>1000*O71*O$6</f>
        <v>30000</v>
      </c>
      <c r="P72" s="7"/>
      <c r="Q72" s="7"/>
      <c r="R72" s="17"/>
      <c r="S72" s="7"/>
      <c r="T72" s="7"/>
      <c r="U72" s="7"/>
      <c r="V72" s="7"/>
      <c r="W72" s="7"/>
      <c r="X72" s="7"/>
    </row>
    <row r="73" spans="1:24" ht="17" customHeight="1" x14ac:dyDescent="0.2">
      <c r="A73" s="9" t="s">
        <v>68</v>
      </c>
      <c r="B73" s="7" t="s">
        <v>24</v>
      </c>
      <c r="C73" s="3">
        <v>18</v>
      </c>
      <c r="D73" s="19">
        <v>170</v>
      </c>
      <c r="E73" s="5"/>
      <c r="F73" s="5"/>
      <c r="G73" s="5"/>
      <c r="H73" s="5"/>
      <c r="I73" s="5"/>
      <c r="J73" s="5"/>
      <c r="K73" s="7"/>
      <c r="L73" s="7"/>
      <c r="M73" s="7"/>
      <c r="N73" s="7"/>
      <c r="O73" s="7"/>
      <c r="P73" s="7"/>
      <c r="Q73" s="46"/>
      <c r="R73" s="13">
        <v>2.7E-2</v>
      </c>
      <c r="S73" s="45"/>
      <c r="T73" s="7"/>
      <c r="U73" s="7"/>
      <c r="V73" s="7"/>
      <c r="W73" s="7"/>
      <c r="X73" s="7"/>
    </row>
    <row r="74" spans="1:24" ht="17" customHeight="1" x14ac:dyDescent="0.2">
      <c r="A74" s="61" t="s">
        <v>112</v>
      </c>
      <c r="B74" s="66">
        <f>D74/210</f>
        <v>0.80952380952380953</v>
      </c>
      <c r="C74" s="39" t="s">
        <v>111</v>
      </c>
      <c r="D74" s="64">
        <f>SUM(E74:T74)</f>
        <v>170</v>
      </c>
      <c r="E74" s="5"/>
      <c r="F74" s="5"/>
      <c r="G74" s="5"/>
      <c r="H74" s="5"/>
      <c r="I74" s="5"/>
      <c r="J74" s="5"/>
      <c r="K74" s="7"/>
      <c r="L74" s="7"/>
      <c r="M74" s="7"/>
      <c r="N74" s="7"/>
      <c r="O74" s="7"/>
      <c r="P74" s="7"/>
      <c r="Q74" s="21"/>
      <c r="R74" s="70">
        <f>1000*R73*R$6</f>
        <v>170</v>
      </c>
      <c r="S74" s="45"/>
      <c r="T74" s="7"/>
      <c r="U74" s="7"/>
      <c r="V74" s="7"/>
      <c r="W74" s="7"/>
      <c r="X74" s="7"/>
    </row>
    <row r="75" spans="1:24" ht="17" customHeight="1" x14ac:dyDescent="0.2">
      <c r="A75" s="47" t="s">
        <v>69</v>
      </c>
      <c r="B75" s="7" t="s">
        <v>24</v>
      </c>
      <c r="C75" s="3">
        <v>18</v>
      </c>
      <c r="D75" s="19">
        <v>1600</v>
      </c>
      <c r="E75" s="5"/>
      <c r="F75" s="5"/>
      <c r="G75" s="5"/>
      <c r="H75" s="5"/>
      <c r="I75" s="5"/>
      <c r="J75" s="5"/>
      <c r="K75" s="7"/>
      <c r="L75" s="7"/>
      <c r="M75" s="7"/>
      <c r="N75" s="7"/>
      <c r="O75" s="7"/>
      <c r="P75" s="7"/>
      <c r="Q75" s="7"/>
      <c r="R75" s="7"/>
      <c r="S75" s="26">
        <v>0.35</v>
      </c>
      <c r="T75" s="26"/>
    </row>
    <row r="76" spans="1:24" ht="17" customHeight="1" x14ac:dyDescent="0.2">
      <c r="A76" s="61" t="s">
        <v>112</v>
      </c>
      <c r="B76" s="66">
        <f>D76/210</f>
        <v>7.6190476190476186</v>
      </c>
      <c r="C76" s="39" t="s">
        <v>111</v>
      </c>
      <c r="D76" s="64">
        <f>SUM(E76:T76)</f>
        <v>1600</v>
      </c>
      <c r="E76" s="5"/>
      <c r="F76" s="5"/>
      <c r="G76" s="5"/>
      <c r="H76" s="5"/>
      <c r="I76" s="5"/>
      <c r="J76" s="5"/>
      <c r="K76" s="7"/>
      <c r="L76" s="7"/>
      <c r="M76" s="7"/>
      <c r="N76" s="7"/>
      <c r="O76" s="7"/>
      <c r="P76" s="7"/>
      <c r="Q76" s="7"/>
      <c r="R76" s="7"/>
      <c r="S76" s="70">
        <f>1000*S75*S$6</f>
        <v>1600</v>
      </c>
      <c r="T76" s="7"/>
    </row>
    <row r="77" spans="1:24" ht="17" customHeight="1" x14ac:dyDescent="0.2">
      <c r="A77" s="47" t="s">
        <v>70</v>
      </c>
      <c r="B77" s="7" t="s">
        <v>24</v>
      </c>
      <c r="C77" s="3">
        <v>18</v>
      </c>
      <c r="D77" s="19">
        <v>7500</v>
      </c>
      <c r="E77" s="5"/>
      <c r="F77" s="5"/>
      <c r="G77" s="5"/>
      <c r="H77" s="5"/>
      <c r="I77" s="5"/>
      <c r="J77" s="5"/>
      <c r="K77" s="7"/>
      <c r="L77" s="7"/>
      <c r="M77" s="7"/>
      <c r="N77" s="7"/>
      <c r="O77" s="7"/>
      <c r="P77" s="7"/>
      <c r="Q77" s="7"/>
      <c r="R77" s="10"/>
      <c r="S77" s="7"/>
      <c r="T77" s="26">
        <v>0.01</v>
      </c>
      <c r="U77" s="7"/>
      <c r="V77" s="7"/>
      <c r="W77" s="7"/>
      <c r="X77" s="7"/>
    </row>
    <row r="78" spans="1:24" ht="17" customHeight="1" x14ac:dyDescent="0.2">
      <c r="A78" s="61" t="s">
        <v>112</v>
      </c>
      <c r="B78" s="66">
        <f>D78/210</f>
        <v>35.714285714285715</v>
      </c>
      <c r="C78" s="39" t="s">
        <v>111</v>
      </c>
      <c r="D78" s="64">
        <f>SUM(E78:T78)</f>
        <v>7500</v>
      </c>
      <c r="E78" s="5"/>
      <c r="F78" s="5"/>
      <c r="G78" s="5"/>
      <c r="H78" s="5"/>
      <c r="I78" s="5"/>
      <c r="J78" s="5"/>
      <c r="K78" s="7"/>
      <c r="L78" s="7"/>
      <c r="M78" s="7"/>
      <c r="N78" s="7"/>
      <c r="O78" s="7"/>
      <c r="P78" s="7"/>
      <c r="Q78" s="7"/>
      <c r="R78" s="10"/>
      <c r="S78" s="7"/>
      <c r="T78" s="70">
        <f>1000*T77*T$6</f>
        <v>7500</v>
      </c>
      <c r="U78" s="7"/>
      <c r="V78" s="7"/>
      <c r="W78" s="7"/>
      <c r="X78" s="7"/>
    </row>
    <row r="79" spans="1:24" ht="17" customHeight="1" x14ac:dyDescent="0.2">
      <c r="A79" s="11" t="s">
        <v>71</v>
      </c>
      <c r="B79" s="7" t="s">
        <v>24</v>
      </c>
      <c r="C79" s="3"/>
      <c r="D79" s="19">
        <v>30000</v>
      </c>
      <c r="E79" s="5"/>
      <c r="F79" s="5"/>
      <c r="G79" s="5"/>
      <c r="H79" s="5"/>
      <c r="I79" s="5"/>
      <c r="J79" s="5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4" ht="17" customHeight="1" x14ac:dyDescent="0.2">
      <c r="A80" s="61" t="s">
        <v>112</v>
      </c>
      <c r="B80" s="66">
        <f>D80/210</f>
        <v>0</v>
      </c>
      <c r="C80" s="39" t="s">
        <v>111</v>
      </c>
      <c r="D80" s="64">
        <f>SUM(E80:T80)</f>
        <v>0</v>
      </c>
    </row>
    <row r="81" spans="1:24" ht="17" customHeight="1" x14ac:dyDescent="0.2">
      <c r="A81" s="44" t="s">
        <v>174</v>
      </c>
      <c r="B81" s="7" t="s">
        <v>24</v>
      </c>
      <c r="C81" s="3"/>
      <c r="D81" s="19">
        <v>3333</v>
      </c>
      <c r="E81" s="27">
        <v>0.08</v>
      </c>
      <c r="F81" s="27">
        <v>0.05</v>
      </c>
      <c r="G81" s="27">
        <v>0.05</v>
      </c>
      <c r="H81" s="27"/>
      <c r="I81" s="27"/>
      <c r="J81" s="27"/>
      <c r="K81" s="34"/>
      <c r="L81" s="13"/>
      <c r="M81" s="13"/>
      <c r="N81" s="13"/>
      <c r="O81" s="13"/>
      <c r="P81" s="13"/>
      <c r="Q81" s="13"/>
      <c r="R81" s="13"/>
      <c r="S81" s="13"/>
      <c r="T81" s="48"/>
      <c r="U81" s="34"/>
      <c r="V81" s="34"/>
      <c r="W81" s="34"/>
      <c r="X81" s="34"/>
    </row>
    <row r="82" spans="1:24" ht="17" customHeight="1" x14ac:dyDescent="0.2">
      <c r="A82" s="44" t="s">
        <v>221</v>
      </c>
      <c r="B82" s="7" t="s">
        <v>175</v>
      </c>
      <c r="C82" s="39" t="s">
        <v>111</v>
      </c>
      <c r="D82" s="64">
        <f>SUM(E82:T82)</f>
        <v>321.35950681375732</v>
      </c>
      <c r="E82" s="64">
        <f t="shared" ref="E82:O82" si="3">1000*E81*E$6</f>
        <v>106.95652173913044</v>
      </c>
      <c r="F82" s="63">
        <f t="shared" si="3"/>
        <v>119.40298507462686</v>
      </c>
      <c r="G82" s="63">
        <f t="shared" si="3"/>
        <v>95</v>
      </c>
      <c r="H82" s="63">
        <f t="shared" si="3"/>
        <v>0</v>
      </c>
      <c r="I82" s="63">
        <f t="shared" si="3"/>
        <v>0</v>
      </c>
      <c r="J82" s="63">
        <f t="shared" si="3"/>
        <v>0</v>
      </c>
      <c r="K82" s="28"/>
      <c r="L82" s="67">
        <f t="shared" si="3"/>
        <v>0</v>
      </c>
      <c r="M82" s="67">
        <f t="shared" si="3"/>
        <v>0</v>
      </c>
      <c r="N82" s="67">
        <f t="shared" si="3"/>
        <v>0</v>
      </c>
      <c r="O82" s="67">
        <f t="shared" si="3"/>
        <v>0</v>
      </c>
      <c r="P82" s="28"/>
      <c r="Q82" s="28"/>
      <c r="R82" s="67">
        <f>1000*R81*T$6</f>
        <v>0</v>
      </c>
      <c r="S82" s="67">
        <f>1000*S81*S$6</f>
        <v>0</v>
      </c>
      <c r="T82" s="34"/>
      <c r="U82" s="34"/>
      <c r="V82" s="34"/>
      <c r="W82" s="34"/>
      <c r="X82" s="34"/>
    </row>
    <row r="83" spans="1:24" ht="17" customHeight="1" x14ac:dyDescent="0.2">
      <c r="A83" s="44" t="s">
        <v>106</v>
      </c>
      <c r="B83" s="7" t="s">
        <v>24</v>
      </c>
      <c r="C83" s="3"/>
      <c r="D83" s="19">
        <v>3148</v>
      </c>
      <c r="E83" s="27">
        <v>0.08</v>
      </c>
      <c r="F83" s="27">
        <v>3.0000000000000001E-3</v>
      </c>
      <c r="G83" s="27">
        <v>0.01</v>
      </c>
      <c r="H83" s="27">
        <v>1.4999999999999999E-2</v>
      </c>
      <c r="I83" s="27">
        <v>8.4000000000000003E-4</v>
      </c>
      <c r="J83" s="27">
        <v>0</v>
      </c>
      <c r="K83" s="34"/>
      <c r="L83" s="13">
        <v>2.9999999999999999E-7</v>
      </c>
      <c r="M83" s="13">
        <v>5.9999999999999997E-7</v>
      </c>
      <c r="N83" s="13">
        <v>8.4E-7</v>
      </c>
      <c r="O83" s="13">
        <v>5.0000000000000001E-9</v>
      </c>
      <c r="P83" s="13"/>
      <c r="Q83" s="13"/>
      <c r="R83" s="13">
        <v>1.0000000000000001E-5</v>
      </c>
      <c r="S83" s="13">
        <v>5.0000000000000002E-5</v>
      </c>
      <c r="T83" s="48"/>
      <c r="U83" s="34"/>
      <c r="V83" s="34"/>
      <c r="W83" s="34"/>
      <c r="X83" s="34"/>
    </row>
    <row r="84" spans="1:24" ht="17" customHeight="1" x14ac:dyDescent="0.2">
      <c r="A84" s="61" t="s">
        <v>112</v>
      </c>
      <c r="B84" s="66">
        <f>D84/210</f>
        <v>0.70062497134798696</v>
      </c>
      <c r="C84" s="39" t="s">
        <v>111</v>
      </c>
      <c r="D84" s="64">
        <f>SUM(E84:T84)</f>
        <v>147.13124398307727</v>
      </c>
      <c r="E84" s="64">
        <f t="shared" ref="E84:O84" si="4">1000*E83*E$6</f>
        <v>106.95652173913044</v>
      </c>
      <c r="F84" s="63">
        <f t="shared" si="4"/>
        <v>7.1641791044776113</v>
      </c>
      <c r="G84" s="63">
        <f t="shared" si="4"/>
        <v>19</v>
      </c>
      <c r="H84" s="63">
        <f t="shared" si="4"/>
        <v>5.8500000000000005</v>
      </c>
      <c r="I84" s="63">
        <f t="shared" si="4"/>
        <v>0.36156521739130437</v>
      </c>
      <c r="J84" s="63">
        <f t="shared" si="4"/>
        <v>0</v>
      </c>
      <c r="K84" s="28"/>
      <c r="L84" s="67">
        <f t="shared" si="4"/>
        <v>4.3636363636363629E-3</v>
      </c>
      <c r="M84" s="67">
        <f t="shared" si="4"/>
        <v>5.7142857142857141E-2</v>
      </c>
      <c r="N84" s="67">
        <f t="shared" si="4"/>
        <v>8.7499999999999991E-3</v>
      </c>
      <c r="O84" s="67">
        <f t="shared" si="4"/>
        <v>1.5000000000000001E-4</v>
      </c>
      <c r="P84" s="28"/>
      <c r="Q84" s="28"/>
      <c r="R84" s="67">
        <f>1000*R83*T$6</f>
        <v>7.5</v>
      </c>
      <c r="S84" s="67">
        <f>1000*S83*S$6</f>
        <v>0.22857142857142856</v>
      </c>
      <c r="T84" s="34"/>
      <c r="U84" s="34"/>
      <c r="V84" s="34"/>
      <c r="W84" s="34"/>
      <c r="X84" s="34"/>
    </row>
    <row r="85" spans="1:24" ht="17" customHeight="1" x14ac:dyDescent="0.2">
      <c r="A85" s="49" t="s">
        <v>125</v>
      </c>
      <c r="B85" s="7" t="s">
        <v>24</v>
      </c>
      <c r="C85" s="3"/>
      <c r="D85" s="19">
        <v>4000</v>
      </c>
      <c r="E85" s="23">
        <v>0.09</v>
      </c>
      <c r="F85" s="23">
        <v>0.13500000000000001</v>
      </c>
      <c r="G85" s="23">
        <v>0.06</v>
      </c>
      <c r="H85" s="23">
        <v>5.0000000000000001E-3</v>
      </c>
      <c r="I85" s="23">
        <v>1.5E-3</v>
      </c>
      <c r="J85" s="23">
        <v>0</v>
      </c>
      <c r="K85" s="13"/>
      <c r="L85" s="13">
        <v>8.0000000000000007E-5</v>
      </c>
      <c r="M85" s="13">
        <v>3.0000000000000001E-5</v>
      </c>
      <c r="N85" s="13">
        <v>6.9999999999999994E-5</v>
      </c>
      <c r="O85" s="13">
        <v>5.2E-7</v>
      </c>
      <c r="P85" s="13"/>
      <c r="Q85" s="13"/>
      <c r="R85" s="13">
        <v>3.1E-4</v>
      </c>
      <c r="S85" s="13">
        <v>5.0000000000000002E-5</v>
      </c>
      <c r="T85" s="13"/>
      <c r="U85" s="13"/>
      <c r="V85" s="13"/>
      <c r="W85" s="13"/>
      <c r="X85" s="13"/>
    </row>
    <row r="86" spans="1:24" ht="17" customHeight="1" x14ac:dyDescent="0.2">
      <c r="A86" s="61" t="s">
        <v>112</v>
      </c>
      <c r="B86" s="66">
        <f>D86/210</f>
        <v>2.6964560380942686</v>
      </c>
      <c r="C86" s="39" t="s">
        <v>111</v>
      </c>
      <c r="D86" s="64">
        <f>SUM(E86:T86)</f>
        <v>566.25576799979638</v>
      </c>
      <c r="E86" s="64">
        <f t="shared" ref="E86:O86" si="5">1000*E85*E$6</f>
        <v>120.32608695652173</v>
      </c>
      <c r="F86" s="64">
        <f t="shared" si="5"/>
        <v>322.38805970149252</v>
      </c>
      <c r="G86" s="63">
        <f t="shared" si="5"/>
        <v>114</v>
      </c>
      <c r="H86" s="63">
        <f t="shared" si="5"/>
        <v>1.9500000000000002</v>
      </c>
      <c r="I86" s="63">
        <f t="shared" si="5"/>
        <v>0.64565217391304353</v>
      </c>
      <c r="J86" s="63">
        <f t="shared" si="5"/>
        <v>0</v>
      </c>
      <c r="K86" s="28"/>
      <c r="L86" s="67">
        <f t="shared" si="5"/>
        <v>1.1636363636363636</v>
      </c>
      <c r="M86" s="67">
        <f t="shared" si="5"/>
        <v>2.8571428571428577</v>
      </c>
      <c r="N86" s="67">
        <f t="shared" si="5"/>
        <v>0.72916666666666652</v>
      </c>
      <c r="O86" s="67">
        <f t="shared" si="5"/>
        <v>1.5599999999999999E-2</v>
      </c>
      <c r="P86" s="28"/>
      <c r="Q86" s="28"/>
      <c r="R86" s="67">
        <f>1000*R85*R$6</f>
        <v>1.9518518518518519</v>
      </c>
      <c r="S86" s="67">
        <f>1000*S85*S$6</f>
        <v>0.22857142857142856</v>
      </c>
      <c r="T86" s="34"/>
      <c r="U86" s="34"/>
      <c r="V86" s="34"/>
      <c r="W86" s="34"/>
      <c r="X86" s="34"/>
    </row>
    <row r="87" spans="1:24" ht="17" customHeight="1" x14ac:dyDescent="0.2">
      <c r="A87" s="44" t="s">
        <v>126</v>
      </c>
      <c r="B87" s="7" t="s">
        <v>24</v>
      </c>
      <c r="C87" s="3"/>
      <c r="D87" s="27"/>
      <c r="E87" s="32">
        <v>0.05</v>
      </c>
      <c r="F87" s="27">
        <v>0.03</v>
      </c>
      <c r="G87" s="27">
        <v>0.05</v>
      </c>
      <c r="H87" s="27"/>
      <c r="I87" s="27"/>
      <c r="J87" s="5"/>
      <c r="K87" s="7"/>
      <c r="L87" s="7"/>
      <c r="M87" s="7"/>
      <c r="N87" s="7"/>
      <c r="O87" s="7"/>
      <c r="P87" s="34"/>
      <c r="Q87" s="34"/>
      <c r="R87" s="34"/>
      <c r="S87" s="34"/>
      <c r="T87" s="34"/>
      <c r="U87" s="34"/>
      <c r="V87" s="34"/>
      <c r="W87" s="34"/>
      <c r="X87" s="34"/>
    </row>
    <row r="88" spans="1:24" ht="17" customHeight="1" x14ac:dyDescent="0.2">
      <c r="A88" s="61" t="s">
        <v>112</v>
      </c>
      <c r="B88" s="66">
        <f>D88/210</f>
        <v>1.1118553196749172</v>
      </c>
      <c r="C88" s="39" t="s">
        <v>111</v>
      </c>
      <c r="D88" s="64">
        <f>SUM(E88:T88)</f>
        <v>233.48961713173264</v>
      </c>
      <c r="E88" s="64">
        <f>1000*E87*E$6</f>
        <v>66.847826086956516</v>
      </c>
      <c r="F88" s="64">
        <f>1000*F87*F$6</f>
        <v>71.641791044776113</v>
      </c>
      <c r="G88" s="64">
        <f>1000*G87*G$6</f>
        <v>95</v>
      </c>
      <c r="H88" s="27"/>
      <c r="I88" s="27"/>
      <c r="J88" s="5"/>
      <c r="K88" s="7"/>
      <c r="L88" s="7"/>
      <c r="M88" s="7"/>
      <c r="N88" s="7"/>
      <c r="O88" s="7"/>
      <c r="P88" s="34"/>
      <c r="Q88" s="34"/>
      <c r="R88" s="34"/>
      <c r="S88" s="34"/>
      <c r="T88" s="34"/>
      <c r="U88" s="34"/>
      <c r="V88" s="34"/>
      <c r="W88" s="34"/>
      <c r="X88" s="34"/>
    </row>
    <row r="89" spans="1:24" ht="17" customHeight="1" x14ac:dyDescent="0.2">
      <c r="A89" s="44" t="s">
        <v>127</v>
      </c>
      <c r="B89" s="7" t="s">
        <v>24</v>
      </c>
      <c r="C89" s="3"/>
      <c r="D89" s="27"/>
      <c r="E89" s="32">
        <v>0.05</v>
      </c>
      <c r="F89" s="27">
        <v>0.02</v>
      </c>
      <c r="G89" s="27">
        <v>5.0000000000000001E-3</v>
      </c>
      <c r="H89" s="11" t="s">
        <v>74</v>
      </c>
    </row>
    <row r="90" spans="1:24" ht="17" customHeight="1" x14ac:dyDescent="0.2">
      <c r="A90" s="61" t="s">
        <v>112</v>
      </c>
      <c r="B90" s="66">
        <f>D90/210</f>
        <v>0.59099533388955838</v>
      </c>
      <c r="C90" s="39" t="s">
        <v>111</v>
      </c>
      <c r="D90" s="64">
        <f>SUM(E90:T90)</f>
        <v>124.10902011680726</v>
      </c>
      <c r="E90" s="64">
        <f>1000*E89*E$6</f>
        <v>66.847826086956516</v>
      </c>
      <c r="F90" s="64">
        <f>1000*F89*F$6</f>
        <v>47.761194029850742</v>
      </c>
      <c r="G90" s="64">
        <f>1000*G89*G$6</f>
        <v>9.5</v>
      </c>
      <c r="H90" s="11" t="s">
        <v>74</v>
      </c>
    </row>
    <row r="91" spans="1:24" ht="17" customHeight="1" x14ac:dyDescent="0.2">
      <c r="A91" s="36" t="s">
        <v>75</v>
      </c>
      <c r="B91" s="7" t="s">
        <v>24</v>
      </c>
      <c r="C91" s="3"/>
      <c r="D91" s="19">
        <v>103</v>
      </c>
    </row>
    <row r="92" spans="1:24" ht="17" customHeight="1" x14ac:dyDescent="0.2">
      <c r="A92" s="61" t="s">
        <v>112</v>
      </c>
      <c r="B92" s="66">
        <f>D92/210</f>
        <v>0</v>
      </c>
      <c r="C92" s="39" t="s">
        <v>111</v>
      </c>
      <c r="D92" s="64">
        <f>SUM(E92:T92)</f>
        <v>0</v>
      </c>
      <c r="E92" s="14"/>
      <c r="F92" s="14"/>
      <c r="G92" s="14"/>
      <c r="H92" s="14"/>
      <c r="I92" s="14"/>
      <c r="J92" s="5"/>
      <c r="K92" s="9"/>
      <c r="L92" s="9"/>
      <c r="M92" s="9"/>
      <c r="N92" s="9"/>
      <c r="O92" s="9"/>
      <c r="P92" s="17"/>
      <c r="Q92" s="17"/>
      <c r="R92" s="17"/>
      <c r="S92" s="17"/>
      <c r="T92" s="17"/>
      <c r="U92" s="17"/>
      <c r="V92" s="7"/>
      <c r="W92" s="7"/>
      <c r="X92" s="7"/>
    </row>
    <row r="93" spans="1:24" ht="17" customHeight="1" x14ac:dyDescent="0.2">
      <c r="A93" s="9" t="s">
        <v>76</v>
      </c>
      <c r="B93" s="7" t="s">
        <v>24</v>
      </c>
      <c r="C93" s="3"/>
      <c r="D93" s="5"/>
      <c r="E93" s="5"/>
      <c r="F93" s="23">
        <v>0.01</v>
      </c>
      <c r="G93" s="23">
        <v>0.05</v>
      </c>
    </row>
    <row r="94" spans="1:24" ht="17" customHeight="1" x14ac:dyDescent="0.2">
      <c r="A94" s="61" t="s">
        <v>112</v>
      </c>
      <c r="B94" s="66">
        <f>D94/210</f>
        <v>0.56609808102345416</v>
      </c>
      <c r="C94" s="39" t="s">
        <v>111</v>
      </c>
      <c r="D94" s="64">
        <f>SUM(E94:T94)</f>
        <v>118.88059701492537</v>
      </c>
      <c r="E94" s="19"/>
      <c r="F94" s="64">
        <f>1000*F93*F$6</f>
        <v>23.880597014925371</v>
      </c>
      <c r="G94" s="64">
        <f>1000*G93*G$6</f>
        <v>95</v>
      </c>
      <c r="H94" s="5"/>
      <c r="I94" s="5"/>
      <c r="J94" s="5"/>
      <c r="K94" s="7"/>
      <c r="L94" s="7"/>
      <c r="M94" s="7"/>
      <c r="N94" s="7"/>
      <c r="O94" s="7"/>
      <c r="P94" s="7"/>
      <c r="Q94" s="39"/>
      <c r="R94" s="10"/>
      <c r="S94" s="7"/>
    </row>
    <row r="95" spans="1:24" ht="17" customHeight="1" x14ac:dyDescent="0.2">
      <c r="A95" s="9" t="s">
        <v>77</v>
      </c>
      <c r="B95" s="7" t="s">
        <v>24</v>
      </c>
      <c r="C95" s="3"/>
      <c r="D95" s="5"/>
      <c r="E95" s="22">
        <v>0.06</v>
      </c>
      <c r="F95" s="29">
        <v>0</v>
      </c>
      <c r="G95" s="29">
        <v>0.01</v>
      </c>
      <c r="H95" s="50"/>
      <c r="I95" s="50"/>
      <c r="J95" s="5"/>
      <c r="K95" s="7"/>
      <c r="L95" s="7"/>
      <c r="M95" s="7"/>
      <c r="N95" s="7"/>
      <c r="O95" s="7"/>
      <c r="P95" s="51"/>
      <c r="Q95" s="51"/>
      <c r="R95" s="51"/>
      <c r="S95" s="51"/>
      <c r="T95" s="51"/>
      <c r="U95" s="51"/>
      <c r="V95" s="51"/>
      <c r="W95" s="51"/>
      <c r="X95" s="51"/>
    </row>
    <row r="96" spans="1:24" ht="17" customHeight="1" x14ac:dyDescent="0.2">
      <c r="A96" s="61" t="s">
        <v>112</v>
      </c>
      <c r="B96" s="66">
        <f>D96/210</f>
        <v>0.47246376811594204</v>
      </c>
      <c r="C96" s="39" t="s">
        <v>111</v>
      </c>
      <c r="D96" s="64">
        <f>SUM(E96:T96)</f>
        <v>99.217391304347828</v>
      </c>
      <c r="E96" s="64">
        <f>1000*E95*E$6</f>
        <v>80.217391304347828</v>
      </c>
      <c r="F96" s="64">
        <f>1000*F95*F$6</f>
        <v>0</v>
      </c>
      <c r="G96" s="64">
        <f>1000*G95*G$6</f>
        <v>19</v>
      </c>
      <c r="H96" s="50"/>
      <c r="I96" s="50"/>
      <c r="J96" s="14"/>
      <c r="K96" s="17"/>
      <c r="L96" s="51"/>
      <c r="M96" s="51"/>
      <c r="N96" s="52"/>
      <c r="O96" s="51"/>
      <c r="P96" s="53"/>
      <c r="Q96" s="51"/>
      <c r="R96" s="53"/>
      <c r="S96" s="52"/>
      <c r="T96" s="53"/>
      <c r="U96" s="51"/>
      <c r="V96" s="53"/>
      <c r="W96" s="51"/>
      <c r="X96" s="51"/>
    </row>
    <row r="97" spans="1:24" ht="17" customHeight="1" x14ac:dyDescent="0.2">
      <c r="A97" s="54" t="s">
        <v>78</v>
      </c>
      <c r="B97" s="7" t="s">
        <v>24</v>
      </c>
      <c r="C97" s="3"/>
      <c r="D97" s="27"/>
      <c r="E97" s="27"/>
      <c r="F97" s="27">
        <v>4.7E-2</v>
      </c>
      <c r="G97" s="27">
        <v>0.03</v>
      </c>
      <c r="H97" s="27">
        <v>7.4999999999999997E-2</v>
      </c>
      <c r="I97" s="29">
        <v>0.01</v>
      </c>
      <c r="J97" s="29">
        <v>0.23</v>
      </c>
      <c r="K97" s="34"/>
      <c r="L97" s="34"/>
      <c r="M97" s="34"/>
      <c r="N97" s="34"/>
      <c r="O97" s="34"/>
      <c r="P97" s="34">
        <v>6.4999999999999997E-3</v>
      </c>
      <c r="Q97" s="34"/>
      <c r="R97" s="34"/>
      <c r="S97" s="34"/>
      <c r="T97" s="34"/>
      <c r="U97" s="26">
        <v>0.08</v>
      </c>
      <c r="V97" s="34"/>
      <c r="W97" s="34"/>
      <c r="X97" s="34"/>
    </row>
    <row r="98" spans="1:24" ht="17" customHeight="1" x14ac:dyDescent="0.2">
      <c r="A98" s="61" t="s">
        <v>112</v>
      </c>
      <c r="B98" s="66">
        <f>D98/210</f>
        <v>1.0170908198265864</v>
      </c>
      <c r="C98" s="39" t="s">
        <v>111</v>
      </c>
      <c r="D98" s="64">
        <f>SUM(E98:T98)</f>
        <v>213.58907216358315</v>
      </c>
      <c r="E98" s="55"/>
      <c r="F98" s="64">
        <f>1000*F97*F$6</f>
        <v>112.23880597014924</v>
      </c>
      <c r="G98" s="64">
        <f>1000*G97*G$6</f>
        <v>57</v>
      </c>
      <c r="H98" s="64">
        <f>1000*H97*H$6</f>
        <v>29.25</v>
      </c>
      <c r="I98" s="64">
        <f>1000*I97*I$6</f>
        <v>4.304347826086957</v>
      </c>
      <c r="J98" s="64">
        <f>1000*J97*J$6</f>
        <v>10.795918367346939</v>
      </c>
      <c r="K98" s="36" t="s">
        <v>4</v>
      </c>
      <c r="L98" s="7"/>
      <c r="M98" s="51"/>
      <c r="N98" s="53"/>
      <c r="O98" s="51"/>
      <c r="P98" s="10"/>
      <c r="Q98" s="51"/>
      <c r="R98" s="53"/>
      <c r="S98" s="51"/>
      <c r="T98" s="53"/>
      <c r="U98" s="70">
        <f>1000*U97*U$6</f>
        <v>0</v>
      </c>
      <c r="V98" s="53"/>
      <c r="W98" s="51"/>
      <c r="X98" s="53"/>
    </row>
    <row r="99" spans="1:24" ht="17" customHeight="1" x14ac:dyDescent="0.2">
      <c r="A99" s="54" t="s">
        <v>5</v>
      </c>
      <c r="B99" s="7" t="s">
        <v>24</v>
      </c>
      <c r="C99" s="3"/>
      <c r="D99" s="27"/>
      <c r="E99" s="27"/>
      <c r="F99" s="27">
        <v>4.0000000000000001E-3</v>
      </c>
      <c r="G99" s="27">
        <v>1.5E-3</v>
      </c>
      <c r="H99" s="27">
        <v>3.0000000000000001E-5</v>
      </c>
      <c r="I99" s="27">
        <v>3.4000000000000002E-2</v>
      </c>
      <c r="J99" s="27"/>
      <c r="K99" s="34">
        <v>0.13500000000000001</v>
      </c>
      <c r="L99" s="54" t="s">
        <v>6</v>
      </c>
      <c r="M99" s="34"/>
      <c r="N99" s="34">
        <v>5.0000000000000004E-6</v>
      </c>
      <c r="O99" s="34"/>
      <c r="P99" s="34">
        <v>1.2999999999999999E-2</v>
      </c>
      <c r="Q99" s="34"/>
      <c r="R99" s="34"/>
      <c r="S99" s="34"/>
      <c r="T99" s="34"/>
      <c r="U99" s="34"/>
      <c r="V99" s="34"/>
      <c r="W99" s="34"/>
      <c r="X99" s="34"/>
    </row>
    <row r="100" spans="1:24" ht="17" customHeight="1" x14ac:dyDescent="0.2">
      <c r="A100" s="61" t="s">
        <v>112</v>
      </c>
      <c r="B100" s="66" t="e">
        <f>D100/210</f>
        <v>#REF!</v>
      </c>
      <c r="C100" s="39" t="s">
        <v>111</v>
      </c>
      <c r="D100" s="64" t="e">
        <f>SUM(E100:T100)</f>
        <v>#REF!</v>
      </c>
      <c r="E100" s="56"/>
      <c r="F100" s="64">
        <f>1000*F99*F$6</f>
        <v>9.5522388059701484</v>
      </c>
      <c r="G100" s="64">
        <f>1000*G99*G$6</f>
        <v>2.8499999999999996</v>
      </c>
      <c r="H100" s="64">
        <f>1000*H99*H$6</f>
        <v>1.1700000000000002E-2</v>
      </c>
      <c r="I100" s="64">
        <f>1000*I99*I$6</f>
        <v>14.634782608695653</v>
      </c>
      <c r="J100" s="5"/>
      <c r="K100" s="70" t="e">
        <f>1000*K99*#REF!</f>
        <v>#REF!</v>
      </c>
      <c r="L100" s="7"/>
      <c r="M100" s="70">
        <f>1000*M99*M$6</f>
        <v>0</v>
      </c>
      <c r="N100" s="70">
        <f>1000*N99*N$6</f>
        <v>5.2083333333333329E-2</v>
      </c>
      <c r="O100" s="36" t="s">
        <v>4</v>
      </c>
      <c r="P100" s="10"/>
      <c r="Q100" s="57"/>
      <c r="R100" s="46"/>
      <c r="S100" s="45"/>
      <c r="T100" s="46"/>
      <c r="U100" s="45"/>
      <c r="V100" s="58"/>
      <c r="W100" s="45"/>
      <c r="X100" s="38"/>
    </row>
    <row r="101" spans="1:24" ht="17" customHeight="1" x14ac:dyDescent="0.2">
      <c r="A101" s="59" t="s">
        <v>213</v>
      </c>
      <c r="B101" s="7" t="s">
        <v>24</v>
      </c>
      <c r="C101" s="3">
        <v>20</v>
      </c>
      <c r="D101" s="69">
        <f>7.04*1000</f>
        <v>7040</v>
      </c>
      <c r="E101" s="22">
        <v>0.13250000000000001</v>
      </c>
      <c r="F101" s="25"/>
      <c r="G101" s="25"/>
      <c r="H101" s="24">
        <v>4.4999999999999998E-2</v>
      </c>
      <c r="I101" s="24"/>
      <c r="J101" s="25"/>
      <c r="K101" s="41"/>
      <c r="L101" s="73">
        <f>2000/1000000</f>
        <v>2E-3</v>
      </c>
      <c r="M101" s="73">
        <f>1000/1000000</f>
        <v>1E-3</v>
      </c>
      <c r="N101" s="73">
        <f>4000/1000000</f>
        <v>4.0000000000000001E-3</v>
      </c>
      <c r="O101" s="41"/>
      <c r="P101" s="41"/>
      <c r="Q101" s="41"/>
      <c r="R101" s="73">
        <f>6676/1000000</f>
        <v>6.6759999999999996E-3</v>
      </c>
      <c r="S101" s="41"/>
      <c r="T101" s="74">
        <f>500/1000000</f>
        <v>5.0000000000000001E-4</v>
      </c>
    </row>
    <row r="102" spans="1:24" ht="17" customHeight="1" x14ac:dyDescent="0.2">
      <c r="A102" s="61" t="s">
        <v>112</v>
      </c>
      <c r="B102" s="66">
        <f>D102/210</f>
        <v>3.7034594485722847</v>
      </c>
      <c r="C102" s="39" t="s">
        <v>111</v>
      </c>
      <c r="D102" s="64">
        <f>SUM(E102:T102)</f>
        <v>777.72648420017981</v>
      </c>
      <c r="E102" s="64">
        <f>1000*E101*E$6</f>
        <v>177.14673913043478</v>
      </c>
      <c r="F102" s="5"/>
      <c r="G102" s="5"/>
      <c r="H102" s="64">
        <f>1000*H101*H$6</f>
        <v>17.55</v>
      </c>
      <c r="I102" s="5"/>
      <c r="J102" s="5"/>
      <c r="K102" s="7"/>
      <c r="L102" s="70">
        <f>1000*L101*L$6</f>
        <v>29.09090909090909</v>
      </c>
      <c r="M102" s="70">
        <f>1000*M101*M$6</f>
        <v>95.238095238095241</v>
      </c>
      <c r="N102" s="70">
        <f>1000*N101*N$6</f>
        <v>41.666666666666664</v>
      </c>
      <c r="O102" s="7"/>
      <c r="P102" s="7"/>
      <c r="Q102" s="7"/>
      <c r="R102" s="70">
        <f>1000*R101*R$6</f>
        <v>42.03407407407407</v>
      </c>
      <c r="S102" s="7"/>
      <c r="T102" s="70">
        <f>1000*T101*T$6</f>
        <v>375</v>
      </c>
      <c r="U102" s="7"/>
    </row>
    <row r="103" spans="1:24" ht="17" customHeight="1" x14ac:dyDescent="0.2">
      <c r="D103" s="3"/>
      <c r="E103" s="60"/>
      <c r="F103" s="5"/>
      <c r="G103" s="5"/>
      <c r="H103" s="60"/>
      <c r="I103" s="5"/>
      <c r="J103" s="5"/>
      <c r="K103" s="7"/>
      <c r="L103" s="40"/>
      <c r="M103" s="40"/>
      <c r="N103" s="40"/>
      <c r="O103" s="7"/>
      <c r="P103" s="7"/>
      <c r="Q103" s="7"/>
      <c r="R103" s="40"/>
      <c r="S103" s="7"/>
      <c r="T103" s="40"/>
    </row>
    <row r="104" spans="1:24" ht="17" customHeight="1" x14ac:dyDescent="0.2"/>
    <row r="105" spans="1:24" ht="17" customHeight="1" x14ac:dyDescent="0.2">
      <c r="E105" s="19"/>
    </row>
    <row r="106" spans="1:24" ht="17" customHeight="1" x14ac:dyDescent="0.2">
      <c r="A106" s="9" t="s">
        <v>99</v>
      </c>
    </row>
    <row r="107" spans="1:24" ht="17" customHeight="1" x14ac:dyDescent="0.2">
      <c r="A107" s="9" t="s">
        <v>105</v>
      </c>
    </row>
    <row r="108" spans="1:24" ht="17" customHeight="1" x14ac:dyDescent="0.2">
      <c r="A108" s="9" t="s">
        <v>0</v>
      </c>
    </row>
    <row r="109" spans="1:24" ht="17" customHeight="1" x14ac:dyDescent="0.2">
      <c r="A109" s="9" t="s">
        <v>141</v>
      </c>
    </row>
    <row r="110" spans="1:24" ht="17" customHeight="1" x14ac:dyDescent="0.2">
      <c r="A110" s="11" t="s">
        <v>142</v>
      </c>
    </row>
    <row r="112" spans="1:24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</sheetData>
  <phoneticPr fontId="2" type="noConversion"/>
  <pageMargins left="0.43000000000000005" right="0.43000000000000005" top="0.45" bottom="0.45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Fertiliser &amp; Effluent Values.xl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2010-08-23T22:07:26Z</dcterms:created>
  <dcterms:modified xsi:type="dcterms:W3CDTF">2016-10-28T03:15:02Z</dcterms:modified>
</cp:coreProperties>
</file>