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 date1904="1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31080" windowHeight="17540"/>
  </bookViews>
  <sheets>
    <sheet name="DairyFeedBudget kg 0001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33" i="1"/>
  <c r="D48" i="1"/>
  <c r="D63" i="1"/>
  <c r="D78" i="1"/>
  <c r="D93" i="1"/>
  <c r="D108" i="1"/>
  <c r="E108" i="1"/>
  <c r="I120" i="1"/>
  <c r="H120" i="1"/>
  <c r="G120" i="1"/>
  <c r="F120" i="1"/>
  <c r="E120" i="1"/>
  <c r="D30" i="1"/>
  <c r="D45" i="1"/>
  <c r="D60" i="1"/>
  <c r="D75" i="1"/>
  <c r="D90" i="1"/>
  <c r="D105" i="1"/>
  <c r="D120" i="1"/>
  <c r="J29" i="1"/>
  <c r="J44" i="1"/>
  <c r="J59" i="1"/>
  <c r="J74" i="1"/>
  <c r="J89" i="1"/>
  <c r="J104" i="1"/>
  <c r="J119" i="1"/>
  <c r="I29" i="1"/>
  <c r="I44" i="1"/>
  <c r="I59" i="1"/>
  <c r="I74" i="1"/>
  <c r="I89" i="1"/>
  <c r="I104" i="1"/>
  <c r="I119" i="1"/>
  <c r="H29" i="1"/>
  <c r="H44" i="1"/>
  <c r="H59" i="1"/>
  <c r="H74" i="1"/>
  <c r="H89" i="1"/>
  <c r="H104" i="1"/>
  <c r="H119" i="1"/>
  <c r="G29" i="1"/>
  <c r="G44" i="1"/>
  <c r="G59" i="1"/>
  <c r="G74" i="1"/>
  <c r="G89" i="1"/>
  <c r="G104" i="1"/>
  <c r="G119" i="1"/>
  <c r="F29" i="1"/>
  <c r="F44" i="1"/>
  <c r="F59" i="1"/>
  <c r="F74" i="1"/>
  <c r="F89" i="1"/>
  <c r="F104" i="1"/>
  <c r="F119" i="1"/>
  <c r="E29" i="1"/>
  <c r="E44" i="1"/>
  <c r="E59" i="1"/>
  <c r="E74" i="1"/>
  <c r="E89" i="1"/>
  <c r="E104" i="1"/>
  <c r="E119" i="1"/>
  <c r="D29" i="1"/>
  <c r="D44" i="1"/>
  <c r="D59" i="1"/>
  <c r="D74" i="1"/>
  <c r="D89" i="1"/>
  <c r="D104" i="1"/>
  <c r="D119" i="1"/>
  <c r="C14" i="1"/>
  <c r="C17" i="1"/>
  <c r="E18" i="1"/>
  <c r="C29" i="1"/>
  <c r="C32" i="1"/>
  <c r="E33" i="1"/>
  <c r="C44" i="1"/>
  <c r="C47" i="1"/>
  <c r="E48" i="1"/>
  <c r="C59" i="1"/>
  <c r="C62" i="1"/>
  <c r="E63" i="1"/>
  <c r="C74" i="1"/>
  <c r="C77" i="1"/>
  <c r="E78" i="1"/>
  <c r="C89" i="1"/>
  <c r="C92" i="1"/>
  <c r="E93" i="1"/>
  <c r="C104" i="1"/>
  <c r="C107" i="1"/>
  <c r="C119" i="1"/>
  <c r="B29" i="1"/>
  <c r="B44" i="1"/>
  <c r="B59" i="1"/>
  <c r="B74" i="1"/>
  <c r="B89" i="1"/>
  <c r="B104" i="1"/>
  <c r="B119" i="1"/>
  <c r="J13" i="1"/>
  <c r="J22" i="1"/>
  <c r="J28" i="1"/>
  <c r="J37" i="1"/>
  <c r="J43" i="1"/>
  <c r="J52" i="1"/>
  <c r="J58" i="1"/>
  <c r="J67" i="1"/>
  <c r="J73" i="1"/>
  <c r="J82" i="1"/>
  <c r="J88" i="1"/>
  <c r="J97" i="1"/>
  <c r="J103" i="1"/>
  <c r="J112" i="1"/>
  <c r="J118" i="1"/>
  <c r="D118" i="1"/>
  <c r="J27" i="1"/>
  <c r="J42" i="1"/>
  <c r="J57" i="1"/>
  <c r="J72" i="1"/>
  <c r="J87" i="1"/>
  <c r="J102" i="1"/>
  <c r="J117" i="1"/>
  <c r="H27" i="1"/>
  <c r="H42" i="1"/>
  <c r="H57" i="1"/>
  <c r="H72" i="1"/>
  <c r="H87" i="1"/>
  <c r="H102" i="1"/>
  <c r="H117" i="1"/>
  <c r="E27" i="1"/>
  <c r="E42" i="1"/>
  <c r="E57" i="1"/>
  <c r="E72" i="1"/>
  <c r="E87" i="1"/>
  <c r="E102" i="1"/>
  <c r="E117" i="1"/>
  <c r="D117" i="1"/>
  <c r="J11" i="1"/>
  <c r="J20" i="1"/>
  <c r="J26" i="1"/>
  <c r="J35" i="1"/>
  <c r="J41" i="1"/>
  <c r="J50" i="1"/>
  <c r="J56" i="1"/>
  <c r="J65" i="1"/>
  <c r="J71" i="1"/>
  <c r="J80" i="1"/>
  <c r="J86" i="1"/>
  <c r="J95" i="1"/>
  <c r="J101" i="1"/>
  <c r="J110" i="1"/>
  <c r="J116" i="1"/>
  <c r="I116" i="1"/>
  <c r="H116" i="1"/>
  <c r="G116" i="1"/>
  <c r="F116" i="1"/>
  <c r="E116" i="1"/>
  <c r="D26" i="1"/>
  <c r="D41" i="1"/>
  <c r="D56" i="1"/>
  <c r="D71" i="1"/>
  <c r="D86" i="1"/>
  <c r="D101" i="1"/>
  <c r="D116" i="1"/>
  <c r="J25" i="1"/>
  <c r="J40" i="1"/>
  <c r="J55" i="1"/>
  <c r="J70" i="1"/>
  <c r="J85" i="1"/>
  <c r="J100" i="1"/>
  <c r="J115" i="1"/>
  <c r="D25" i="1"/>
  <c r="D40" i="1"/>
  <c r="D55" i="1"/>
  <c r="D70" i="1"/>
  <c r="D85" i="1"/>
  <c r="D100" i="1"/>
  <c r="D115" i="1"/>
  <c r="J9" i="1"/>
  <c r="J18" i="1"/>
  <c r="J24" i="1"/>
  <c r="J33" i="1"/>
  <c r="J39" i="1"/>
  <c r="J48" i="1"/>
  <c r="J54" i="1"/>
  <c r="J63" i="1"/>
  <c r="J69" i="1"/>
  <c r="J78" i="1"/>
  <c r="J84" i="1"/>
  <c r="J93" i="1"/>
  <c r="J99" i="1"/>
  <c r="J108" i="1"/>
  <c r="J114" i="1"/>
  <c r="D24" i="1"/>
  <c r="D39" i="1"/>
  <c r="D54" i="1"/>
  <c r="D69" i="1"/>
  <c r="D84" i="1"/>
  <c r="D99" i="1"/>
  <c r="D114" i="1"/>
  <c r="J23" i="1"/>
  <c r="J38" i="1"/>
  <c r="J53" i="1"/>
  <c r="J68" i="1"/>
  <c r="J83" i="1"/>
  <c r="J98" i="1"/>
  <c r="J113" i="1"/>
  <c r="D23" i="1"/>
  <c r="D38" i="1"/>
  <c r="D53" i="1"/>
  <c r="D68" i="1"/>
  <c r="D83" i="1"/>
  <c r="D98" i="1"/>
  <c r="D113" i="1"/>
  <c r="D22" i="1"/>
  <c r="D37" i="1"/>
  <c r="D52" i="1"/>
  <c r="D67" i="1"/>
  <c r="D82" i="1"/>
  <c r="D97" i="1"/>
  <c r="D112" i="1"/>
  <c r="J21" i="1"/>
  <c r="J36" i="1"/>
  <c r="J51" i="1"/>
  <c r="J66" i="1"/>
  <c r="J81" i="1"/>
  <c r="J96" i="1"/>
  <c r="J111" i="1"/>
  <c r="D36" i="1"/>
  <c r="D51" i="1"/>
  <c r="D66" i="1"/>
  <c r="D81" i="1"/>
  <c r="D96" i="1"/>
  <c r="D111" i="1"/>
  <c r="I20" i="1"/>
  <c r="I35" i="1"/>
  <c r="I50" i="1"/>
  <c r="I65" i="1"/>
  <c r="I80" i="1"/>
  <c r="I95" i="1"/>
  <c r="I110" i="1"/>
  <c r="H20" i="1"/>
  <c r="H35" i="1"/>
  <c r="H50" i="1"/>
  <c r="H65" i="1"/>
  <c r="H80" i="1"/>
  <c r="H95" i="1"/>
  <c r="H110" i="1"/>
  <c r="G20" i="1"/>
  <c r="G35" i="1"/>
  <c r="G50" i="1"/>
  <c r="G65" i="1"/>
  <c r="G80" i="1"/>
  <c r="G95" i="1"/>
  <c r="G110" i="1"/>
  <c r="F20" i="1"/>
  <c r="F35" i="1"/>
  <c r="F50" i="1"/>
  <c r="F65" i="1"/>
  <c r="F80" i="1"/>
  <c r="F95" i="1"/>
  <c r="F110" i="1"/>
  <c r="E20" i="1"/>
  <c r="E35" i="1"/>
  <c r="E50" i="1"/>
  <c r="E65" i="1"/>
  <c r="E80" i="1"/>
  <c r="E95" i="1"/>
  <c r="E110" i="1"/>
  <c r="D20" i="1"/>
  <c r="D35" i="1"/>
  <c r="D50" i="1"/>
  <c r="D65" i="1"/>
  <c r="D80" i="1"/>
  <c r="D95" i="1"/>
  <c r="D110" i="1"/>
  <c r="B110" i="1"/>
  <c r="A20" i="1"/>
  <c r="A35" i="1"/>
  <c r="A50" i="1"/>
  <c r="A65" i="1"/>
  <c r="A80" i="1"/>
  <c r="A95" i="1"/>
  <c r="A110" i="1"/>
  <c r="J19" i="1"/>
  <c r="J34" i="1"/>
  <c r="J49" i="1"/>
  <c r="J64" i="1"/>
  <c r="J79" i="1"/>
  <c r="J94" i="1"/>
  <c r="J109" i="1"/>
  <c r="I34" i="1"/>
  <c r="I49" i="1"/>
  <c r="I64" i="1"/>
  <c r="I79" i="1"/>
  <c r="I94" i="1"/>
  <c r="I109" i="1"/>
  <c r="D19" i="1"/>
  <c r="D34" i="1"/>
  <c r="D49" i="1"/>
  <c r="D64" i="1"/>
  <c r="D79" i="1"/>
  <c r="D94" i="1"/>
  <c r="D109" i="1"/>
  <c r="A18" i="1"/>
  <c r="A33" i="1"/>
  <c r="A48" i="1"/>
  <c r="A63" i="1"/>
  <c r="A78" i="1"/>
  <c r="A93" i="1"/>
  <c r="A108" i="1"/>
  <c r="J17" i="1"/>
  <c r="J32" i="1"/>
  <c r="J47" i="1"/>
  <c r="J62" i="1"/>
  <c r="J77" i="1"/>
  <c r="J92" i="1"/>
  <c r="J107" i="1"/>
  <c r="I17" i="1"/>
  <c r="I32" i="1"/>
  <c r="I47" i="1"/>
  <c r="I62" i="1"/>
  <c r="I77" i="1"/>
  <c r="I92" i="1"/>
  <c r="I107" i="1"/>
  <c r="H17" i="1"/>
  <c r="H32" i="1"/>
  <c r="H47" i="1"/>
  <c r="H62" i="1"/>
  <c r="H77" i="1"/>
  <c r="H92" i="1"/>
  <c r="H107" i="1"/>
  <c r="G17" i="1"/>
  <c r="G32" i="1"/>
  <c r="G47" i="1"/>
  <c r="G62" i="1"/>
  <c r="G77" i="1"/>
  <c r="G92" i="1"/>
  <c r="G107" i="1"/>
  <c r="F17" i="1"/>
  <c r="F32" i="1"/>
  <c r="F47" i="1"/>
  <c r="F62" i="1"/>
  <c r="F77" i="1"/>
  <c r="F92" i="1"/>
  <c r="F107" i="1"/>
  <c r="E17" i="1"/>
  <c r="E32" i="1"/>
  <c r="E47" i="1"/>
  <c r="E62" i="1"/>
  <c r="E77" i="1"/>
  <c r="E92" i="1"/>
  <c r="E107" i="1"/>
  <c r="D17" i="1"/>
  <c r="D32" i="1"/>
  <c r="D47" i="1"/>
  <c r="D62" i="1"/>
  <c r="D77" i="1"/>
  <c r="D92" i="1"/>
  <c r="D107" i="1"/>
  <c r="A17" i="1"/>
  <c r="A32" i="1"/>
  <c r="A47" i="1"/>
  <c r="A62" i="1"/>
  <c r="A77" i="1"/>
  <c r="A92" i="1"/>
  <c r="A107" i="1"/>
  <c r="I105" i="1"/>
  <c r="H105" i="1"/>
  <c r="G105" i="1"/>
  <c r="F105" i="1"/>
  <c r="E105" i="1"/>
  <c r="E103" i="1"/>
  <c r="D103" i="1"/>
  <c r="D102" i="1"/>
  <c r="I101" i="1"/>
  <c r="H101" i="1"/>
  <c r="G101" i="1"/>
  <c r="F101" i="1"/>
  <c r="E101" i="1"/>
  <c r="B95" i="1"/>
  <c r="I90" i="1"/>
  <c r="H90" i="1"/>
  <c r="G90" i="1"/>
  <c r="F90" i="1"/>
  <c r="E90" i="1"/>
  <c r="D88" i="1"/>
  <c r="D87" i="1"/>
  <c r="I86" i="1"/>
  <c r="H86" i="1"/>
  <c r="G86" i="1"/>
  <c r="F86" i="1"/>
  <c r="E86" i="1"/>
  <c r="M84" i="1"/>
  <c r="N84" i="1"/>
  <c r="O84" i="1"/>
  <c r="B80" i="1"/>
  <c r="N74" i="1"/>
  <c r="N76" i="1"/>
  <c r="N78" i="1"/>
  <c r="M74" i="1"/>
  <c r="M76" i="1"/>
  <c r="M78" i="1"/>
  <c r="I75" i="1"/>
  <c r="H75" i="1"/>
  <c r="G75" i="1"/>
  <c r="F75" i="1"/>
  <c r="E75" i="1"/>
  <c r="E73" i="1"/>
  <c r="D73" i="1"/>
  <c r="D72" i="1"/>
  <c r="I71" i="1"/>
  <c r="H71" i="1"/>
  <c r="G71" i="1"/>
  <c r="F71" i="1"/>
  <c r="E71" i="1"/>
  <c r="S70" i="1"/>
  <c r="B65" i="1"/>
  <c r="I60" i="1"/>
  <c r="H60" i="1"/>
  <c r="G60" i="1"/>
  <c r="F60" i="1"/>
  <c r="E60" i="1"/>
  <c r="E58" i="1"/>
  <c r="D58" i="1"/>
  <c r="D57" i="1"/>
  <c r="I56" i="1"/>
  <c r="H56" i="1"/>
  <c r="G56" i="1"/>
  <c r="F56" i="1"/>
  <c r="E56" i="1"/>
  <c r="B50" i="1"/>
  <c r="I45" i="1"/>
  <c r="H45" i="1"/>
  <c r="G45" i="1"/>
  <c r="F45" i="1"/>
  <c r="E45" i="1"/>
  <c r="E43" i="1"/>
  <c r="D43" i="1"/>
  <c r="D42" i="1"/>
  <c r="T29" i="1"/>
  <c r="T30" i="1"/>
  <c r="T31" i="1"/>
  <c r="T32" i="1"/>
  <c r="T36" i="1"/>
  <c r="T37" i="1"/>
  <c r="T38" i="1"/>
  <c r="T39" i="1"/>
  <c r="T40" i="1"/>
  <c r="T41" i="1"/>
  <c r="R41" i="1"/>
  <c r="N41" i="1"/>
  <c r="M41" i="1"/>
  <c r="I41" i="1"/>
  <c r="H41" i="1"/>
  <c r="G41" i="1"/>
  <c r="F41" i="1"/>
  <c r="E41" i="1"/>
  <c r="V40" i="1"/>
  <c r="P40" i="1"/>
  <c r="V39" i="1"/>
  <c r="P39" i="1"/>
  <c r="V38" i="1"/>
  <c r="P38" i="1"/>
  <c r="V37" i="1"/>
  <c r="P37" i="1"/>
  <c r="V36" i="1"/>
  <c r="V35" i="1"/>
  <c r="B35" i="1"/>
  <c r="V34" i="1"/>
  <c r="V33" i="1"/>
  <c r="P33" i="1"/>
  <c r="V32" i="1"/>
  <c r="Q32" i="1"/>
  <c r="V31" i="1"/>
  <c r="V30" i="1"/>
  <c r="I30" i="1"/>
  <c r="H30" i="1"/>
  <c r="G30" i="1"/>
  <c r="F30" i="1"/>
  <c r="E30" i="1"/>
  <c r="V29" i="1"/>
  <c r="E28" i="1"/>
  <c r="D28" i="1"/>
  <c r="H28" i="1"/>
  <c r="D27" i="1"/>
  <c r="I26" i="1"/>
  <c r="H26" i="1"/>
  <c r="G26" i="1"/>
  <c r="F26" i="1"/>
  <c r="E26" i="1"/>
  <c r="T23" i="1"/>
  <c r="Q23" i="1"/>
  <c r="Q22" i="1"/>
  <c r="Q21" i="1"/>
  <c r="Q20" i="1"/>
  <c r="B20" i="1"/>
  <c r="Q19" i="1"/>
  <c r="Q18" i="1"/>
  <c r="I15" i="1"/>
  <c r="H15" i="1"/>
  <c r="G15" i="1"/>
  <c r="F15" i="1"/>
  <c r="E15" i="1"/>
  <c r="E13" i="1"/>
  <c r="D13" i="1"/>
  <c r="H13" i="1"/>
  <c r="D12" i="1"/>
  <c r="I11" i="1"/>
  <c r="H11" i="1"/>
  <c r="G11" i="1"/>
  <c r="F11" i="1"/>
  <c r="E11" i="1"/>
  <c r="B5" i="1"/>
</calcChain>
</file>

<file path=xl/sharedStrings.xml><?xml version="1.0" encoding="utf-8"?>
<sst xmlns="http://schemas.openxmlformats.org/spreadsheetml/2006/main" count="250" uniqueCount="210">
  <si>
    <t>Dairy Feed Budget kg</t>
  </si>
  <si>
    <t>Average Cover</t>
  </si>
  <si>
    <t>Effective</t>
  </si>
  <si>
    <t>Pasture</t>
  </si>
  <si>
    <t>Breed &gt;</t>
  </si>
  <si>
    <t>Your name</t>
  </si>
  <si>
    <t>Instructions are in red. Don’t type over blue cells, they contain formula.</t>
  </si>
  <si>
    <t>Enter yours in the yellow cells</t>
  </si>
  <si>
    <t>Enter cover/ha at 1</t>
  </si>
  <si>
    <t>Mar</t>
  </si>
  <si>
    <t>hectares</t>
  </si>
  <si>
    <t>ha or acres</t>
  </si>
  <si>
    <t>Crop ha/a</t>
  </si>
  <si>
    <t>NewGrass ha/a</t>
  </si>
  <si>
    <t>Other ha/a</t>
  </si>
  <si>
    <t># 20 kg Bales</t>
  </si>
  <si>
    <t xml:space="preserve">Change headings as required, e.g., ha to acres.  Changes made in the first month will ne changed in all other months by your computer.  Ha or acres can be used. </t>
  </si>
  <si>
    <t># of days in month</t>
  </si>
  <si>
    <t>kg DM per 20 kg bale (80 to 85% DM).</t>
  </si>
  <si>
    <t>Enter # effective ha's or acres. Area in crops and conserving automatically decreases the Pasture area. Enter # 20 kg (44 lb) bales of hay.  Change the 16 to match your hay quality and bale size.</t>
  </si>
  <si>
    <t>Enter your pasture dry matter daily growth figure.</t>
  </si>
  <si>
    <t>(See M29 to M40 for Waikato ones)</t>
  </si>
  <si>
    <t>m3 Silage</t>
  </si>
  <si>
    <t xml:space="preserve">kg DM per m3 of grass silage. </t>
  </si>
  <si>
    <t xml:space="preserve">Maize silage varies from 180 to 320 kg DM/m3, depending on compaction. Enter yours in J5. </t>
  </si>
  <si>
    <t>Cows/ha or acre</t>
  </si>
  <si>
    <t>Livestock Types</t>
  </si>
  <si>
    <t>Cows</t>
  </si>
  <si>
    <t>Fat Dries</t>
  </si>
  <si>
    <t>Thin Dries</t>
  </si>
  <si>
    <t>Yearlings</t>
  </si>
  <si>
    <t>Calves</t>
  </si>
  <si>
    <t>Change headings as required. Enter cubic metres of silage.</t>
  </si>
  <si>
    <t xml:space="preserve">MS is milk solids, which is the total of fat and protein produced. </t>
  </si>
  <si>
    <t>Enter average numbers for month</t>
  </si>
  <si>
    <t>Tonnes Grain</t>
  </si>
  <si>
    <t>Approx DM Percentages - Hay 85% DM, pasture silage 20%, pre-wilted pasture silage 30%, maize silage 30~40%, turnip bulbs 10%, tops 15%, meals 86%.</t>
  </si>
  <si>
    <t>Enter kg DM of hay/animal/day</t>
  </si>
  <si>
    <t xml:space="preserve">Enter tonnes of meal on hand or to buy. </t>
  </si>
  <si>
    <t>Enter your estimates over ?'s.</t>
  </si>
  <si>
    <t>Enter kg DM of silage/animal/day</t>
  </si>
  <si>
    <t>20kg Bales Over</t>
  </si>
  <si>
    <t xml:space="preserve">Cows will eat 2% of their body weight plus 33% of their milk yield at 4% fat. An example is 2% of 500 kg = 10 kg of DM plus 33% of 20 litres of 4% milk = 6.6 kg = a total of 16.6 kg. </t>
  </si>
  <si>
    <t>Enter kg DM of pasture/animal/day</t>
  </si>
  <si>
    <t xml:space="preserve">See cells P28-P40 for how much to feed. Some high BW cows can eat 4% of their body weight in DM/day, but 3% is more common. </t>
  </si>
  <si>
    <t>Enter kg DM of grain/animal/day</t>
  </si>
  <si>
    <t>m3 Silage Over</t>
  </si>
  <si>
    <t>Watch for irregularities in figures. ERR = times 0, so no figure is shown.</t>
  </si>
  <si>
    <t>Total kg DM fed/animal/day</t>
  </si>
  <si>
    <t xml:space="preserve">To change formula cells unlock &amp; lock again when finished. </t>
  </si>
  <si>
    <t xml:space="preserve">Read First file on the VJ disc before proceeding. </t>
  </si>
  <si>
    <t>kg MS per day</t>
  </si>
  <si>
    <t>kg pasture DM/kg MS</t>
  </si>
  <si>
    <t>Estim'd kg MS/cow/day</t>
  </si>
  <si>
    <t>Grain Over</t>
  </si>
  <si>
    <t xml:space="preserve">If not producing this estimate, check quality of feed &amp; animals, whether substitution is occurring, check milking machine &amp; </t>
  </si>
  <si>
    <t>kg MS per month</t>
  </si>
  <si>
    <t>management. Each conversion rate is based on feed quality, stage of pregnancy, time of year, etc.</t>
  </si>
  <si>
    <t>Cover/ha at end of month</t>
  </si>
  <si>
    <t>kg/ha</t>
  </si>
  <si>
    <t>Pasture ha</t>
  </si>
  <si>
    <t>kg DM hay</t>
  </si>
  <si>
    <t>20 kg Bales</t>
  </si>
  <si>
    <t>kgDM Silage</t>
  </si>
  <si>
    <t>Enter CS below</t>
  </si>
  <si>
    <t>CS is Condition Score. The entry is just for records and has no effect on the figures.</t>
  </si>
  <si>
    <t>Excess or shortfall. Use any one</t>
  </si>
  <si>
    <t>Apply any one. The surplus pasture ha figure shows what can be conserved in the appropriate months.</t>
  </si>
  <si>
    <t>Approximately 1.3% of live weight in DM is used for maintenance</t>
  </si>
  <si>
    <t>EYE ASSESSING DM.   Pastures vary tremendously in kg/mm or lb/inch, so eye assessing is usually more accurate than measuring the height.</t>
  </si>
  <si>
    <t>April</t>
  </si>
  <si>
    <t>Av height in mm</t>
  </si>
  <si>
    <t>Temperate Cattle</t>
  </si>
  <si>
    <t>Temperate Sheep</t>
  </si>
  <si>
    <t>Tropical Cattle</t>
  </si>
  <si>
    <t>Tropical Sheep</t>
  </si>
  <si>
    <t>kg/mm</t>
  </si>
  <si>
    <t>Av ht in inches</t>
  </si>
  <si>
    <t xml:space="preserve">   Eye Assessing totals</t>
  </si>
  <si>
    <t>This is easier if the farm is divided as below.</t>
  </si>
  <si>
    <t>Count and enter correct hay, silage &amp; grain figures</t>
  </si>
  <si>
    <t>Cover on shortest 25%</t>
  </si>
  <si>
    <t>&lt;Enter yours</t>
  </si>
  <si>
    <t>Cover on next 25%</t>
  </si>
  <si>
    <t>Correct the average stock numbers for the month</t>
  </si>
  <si>
    <t>Cover on longest 25%</t>
  </si>
  <si>
    <t xml:space="preserve"> = Farm Average Cover</t>
  </si>
  <si>
    <t>Waikato optimum</t>
  </si>
  <si>
    <t>20 litres of 5% MF milk a day = 1 kg MF or 1.75 kg MS/day.</t>
  </si>
  <si>
    <t>Actual</t>
  </si>
  <si>
    <t>ConversionRate</t>
  </si>
  <si>
    <t>kg MS/kg MF</t>
  </si>
  <si>
    <t>Seasonal Milking in NZ</t>
  </si>
  <si>
    <t>Feeding Rate</t>
  </si>
  <si>
    <t>kg DM/kg MS</t>
  </si>
  <si>
    <t>Maintenance</t>
  </si>
  <si>
    <t>kg</t>
  </si>
  <si>
    <t>Good Waikato</t>
  </si>
  <si>
    <t>Record your</t>
  </si>
  <si>
    <t>% Pasture to</t>
  </si>
  <si>
    <t>kg DM/cow/day</t>
  </si>
  <si>
    <t>Herd</t>
  </si>
  <si>
    <t>depending on</t>
  </si>
  <si>
    <t>depending on cow size,</t>
  </si>
  <si>
    <t>Good</t>
  </si>
  <si>
    <t>DM/ha</t>
  </si>
  <si>
    <t>daily growth</t>
  </si>
  <si>
    <t>feed for max</t>
  </si>
  <si>
    <t>Average</t>
  </si>
  <si>
    <t>breed &amp; quality</t>
  </si>
  <si>
    <t>condition score, feed</t>
  </si>
  <si>
    <t>Production</t>
  </si>
  <si>
    <t>Not including</t>
  </si>
  <si>
    <t>(kg DM/ha/day</t>
  </si>
  <si>
    <t>production</t>
  </si>
  <si>
    <t>Weight</t>
  </si>
  <si>
    <t>&amp; calving date</t>
  </si>
  <si>
    <t>quality, calving date, etc.</t>
  </si>
  <si>
    <t>kg MS/day</t>
  </si>
  <si>
    <t>silage &amp; hay.</t>
  </si>
  <si>
    <t>Jan</t>
  </si>
  <si>
    <t>Seasonal litres/cow 17</t>
  </si>
  <si>
    <t>Feb</t>
  </si>
  <si>
    <t>Seasonal litres/cow 12</t>
  </si>
  <si>
    <t>33%*</t>
  </si>
  <si>
    <t>lbs</t>
  </si>
  <si>
    <t>Seasonal litres/cow 11</t>
  </si>
  <si>
    <t>May</t>
  </si>
  <si>
    <t>Apr</t>
  </si>
  <si>
    <t>45%</t>
  </si>
  <si>
    <t>Jun</t>
  </si>
  <si>
    <t>Holstein</t>
  </si>
  <si>
    <t>Jul</t>
  </si>
  <si>
    <t>Aug</t>
  </si>
  <si>
    <t>Jersey</t>
  </si>
  <si>
    <t>Sep</t>
  </si>
  <si>
    <t>Seasonal litres/cow 19</t>
  </si>
  <si>
    <t>Oct</t>
  </si>
  <si>
    <t>Ayrshire</t>
  </si>
  <si>
    <t>Seasonal litres/cow 22</t>
  </si>
  <si>
    <t>Nov</t>
  </si>
  <si>
    <t>Seasonal litres/cow 20</t>
  </si>
  <si>
    <t>Dec</t>
  </si>
  <si>
    <t>Total pa</t>
  </si>
  <si>
    <t>Average &gt;</t>
  </si>
  <si>
    <t>Top herds do more</t>
  </si>
  <si>
    <t xml:space="preserve">To achieve these figures avoid overgrazing at any time because it pulls out clover runners and perennial ryegrasses and slows regrowth. </t>
  </si>
  <si>
    <t xml:space="preserve">Cows can eat 2% of their body weight plus 33% of their milk yield at 4% fat. An example is 2% of 500 kg = 10 kg of DM plus 33% of 20 litres of 4% milk = 6.6 kg = a total of 16.6 kg. </t>
  </si>
  <si>
    <t>Conversion rates DM to milk</t>
  </si>
  <si>
    <t>Hay</t>
  </si>
  <si>
    <t>Silage</t>
  </si>
  <si>
    <t>Maize meal</t>
  </si>
  <si>
    <t>Summer crop stats</t>
  </si>
  <si>
    <t>Ha/100</t>
  </si>
  <si>
    <t>%</t>
  </si>
  <si>
    <t>% Protein</t>
  </si>
  <si>
    <t>Days to grazing</t>
  </si>
  <si>
    <t>Yields in tonnes</t>
  </si>
  <si>
    <t>Cows to sow</t>
  </si>
  <si>
    <t>ME</t>
  </si>
  <si>
    <t>Digestibility</t>
  </si>
  <si>
    <t>Stem/bulb &amp; leaves</t>
  </si>
  <si>
    <t>Maize - hybrid</t>
  </si>
  <si>
    <t>15~32</t>
  </si>
  <si>
    <t>Maize - munch</t>
  </si>
  <si>
    <t>10~20</t>
  </si>
  <si>
    <t>Barkant turnips</t>
  </si>
  <si>
    <t>6~18</t>
  </si>
  <si>
    <t>14 /22</t>
  </si>
  <si>
    <t>Pasja</t>
  </si>
  <si>
    <t>8~14</t>
  </si>
  <si>
    <t>Japanese millet</t>
  </si>
  <si>
    <t>6~14</t>
  </si>
  <si>
    <t>Recommendations:</t>
  </si>
  <si>
    <t xml:space="preserve">To increase by one CS (scale of 10) in one month requires feeding at twice the normal maintenance levels. </t>
  </si>
  <si>
    <t>Adding 50 kg LW takes 200 DM. Aim to calve at &gt;CS 5.</t>
  </si>
  <si>
    <t>The pasture and animal production figures can only be achieved if there is little or no trampling or waste.</t>
  </si>
  <si>
    <t>On wet soils during wet periods on/off grazing will have to be used to achieve these figures.</t>
  </si>
  <si>
    <t>Aim to offer at least 5% DM of body weight after calving. Maintenance is about 1.3% (6 to 8 kg), depending on cow size, gestation, weather and pasture quality.</t>
  </si>
  <si>
    <t>For maximum milk and pasture production aim to graze as per N32-N43 above.</t>
  </si>
  <si>
    <t>The Low Cost Dairying booklet gives feeding details.</t>
  </si>
  <si>
    <t>Formats from which to copy to other cells as required.</t>
  </si>
  <si>
    <t>Aim for at least 2,200 kg DM average cover at drying off and at least 2,500 at calving.</t>
  </si>
  <si>
    <t>You can adjust the above depending on quality. They are based on good quality pasture.</t>
  </si>
  <si>
    <t>Instructions continued.</t>
  </si>
  <si>
    <t>To add another month after October, copy October and paste below it, then change growth figure,</t>
  </si>
  <si>
    <t xml:space="preserve"> month, number of days in month and conversion rate. Enter Kg DM to produce kg ms from R41.</t>
  </si>
  <si>
    <t>Approx DM Percentages</t>
  </si>
  <si>
    <t>Hay 85% DM, pasture silage 20%, pre-wilted pasture silage 30%, maize silage 30~40%, turnip bulbs 10%, tops 15%, dry grains and meals 86%.</t>
  </si>
  <si>
    <t>Cost of growing pasture dry matter(DM) by value of land</t>
  </si>
  <si>
    <t>NZ$ &amp; kg/ha</t>
  </si>
  <si>
    <t>US$ &amp; lb/acre</t>
  </si>
  <si>
    <t>Value/ha</t>
  </si>
  <si>
    <t>Enter your figures</t>
  </si>
  <si>
    <t>Interest rate</t>
  </si>
  <si>
    <t>Cost/ha pa</t>
  </si>
  <si>
    <t>Rates (Land taxes)</t>
  </si>
  <si>
    <t>Total cost/ha pa</t>
  </si>
  <si>
    <t>DM grown</t>
  </si>
  <si>
    <t>Cost of DM/kg&amp;lb</t>
  </si>
  <si>
    <t>There has been 100% increase in milk production from pasture from the top farms in NZ since the last 50 years.</t>
  </si>
  <si>
    <t>lb mf /a</t>
  </si>
  <si>
    <t>kg mf/a</t>
  </si>
  <si>
    <t>kg mf/ha</t>
  </si>
  <si>
    <t>kg ms/ha</t>
  </si>
  <si>
    <t xml:space="preserve">For more months copy and paste the month and one empty row above and change the month, # days, growth figure, kg pasture DM/kg MS, etc. </t>
  </si>
  <si>
    <t>window scale 120%</t>
  </si>
  <si>
    <t xml:space="preserve"> Ignore this, it if Mac scaling for the screen and prinitng. </t>
  </si>
  <si>
    <t>Calculate the true Value of Fertilisers by Elemen</t>
  </si>
  <si>
    <t xml:space="preserve">If you don’t measure it, you can’t manage it - and profit.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</si>
</sst>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d&quot; &quot;mmm&quot; &quot;yy"/>
    <numFmt numFmtId="165" formatCode="#,##0.0"/>
    <numFmt numFmtId="166" formatCode="&quot;$&quot;#,##0"/>
    <numFmt numFmtId="167" formatCode="0.0"/>
    <numFmt numFmtId="168" formatCode="#,##0&quot; &quot;;\(#,##0\)"/>
    <numFmt numFmtId="169" formatCode="#,##0%"/>
    <numFmt numFmtId="170" formatCode="&quot;$&quot;0.00"/>
    <numFmt numFmtId="171" formatCode="#,##0.0%"/>
    <numFmt numFmtId="172" formatCode="#,##0.00%"/>
    <numFmt numFmtId="173" formatCode="d/m/yy"/>
    <numFmt numFmtId="174" formatCode="&quot;$&quot;#,##0&quot; &quot;;\(&quot;$&quot;#,##0\)"/>
    <numFmt numFmtId="175" formatCode="&quot;$&quot;#,##0.00&quot; &quot;;\(&quot;$&quot;#,##0.00\)"/>
  </numFmts>
  <fonts count="12" x14ac:knownFonts="1">
    <font>
      <sz val="12"/>
      <color indexed="8"/>
      <name val="N Helvetica Narrow"/>
    </font>
    <font>
      <b/>
      <sz val="13"/>
      <color indexed="8"/>
      <name val="Times New Roman"/>
    </font>
    <font>
      <sz val="11"/>
      <color indexed="8"/>
      <name val="Times New Roman"/>
    </font>
    <font>
      <b/>
      <u/>
      <sz val="11"/>
      <color indexed="8"/>
      <name val="Times New Roman"/>
    </font>
    <font>
      <b/>
      <sz val="11"/>
      <color indexed="8"/>
      <name val="Times New Roman"/>
    </font>
    <font>
      <b/>
      <sz val="11"/>
      <color indexed="11"/>
      <name val="Times New Roman"/>
    </font>
    <font>
      <b/>
      <sz val="11"/>
      <color indexed="12"/>
      <name val="N Helvetica Narrow"/>
    </font>
    <font>
      <u/>
      <sz val="11"/>
      <color indexed="8"/>
      <name val="Times New Roman"/>
    </font>
    <font>
      <sz val="11"/>
      <color indexed="11"/>
      <name val="Times New Roman"/>
    </font>
    <font>
      <sz val="11"/>
      <color indexed="12"/>
      <name val="Times New Roman"/>
    </font>
    <font>
      <b/>
      <sz val="14"/>
      <color indexed="11"/>
      <name val="Times New Roman"/>
    </font>
    <font>
      <b/>
      <sz val="11"/>
      <color indexed="12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3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92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/>
    <xf numFmtId="49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0" fontId="2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3" fontId="4" fillId="2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/>
    <xf numFmtId="3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right"/>
    </xf>
    <xf numFmtId="0" fontId="8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167" fontId="2" fillId="4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2" fontId="2" fillId="2" borderId="1" xfId="0" applyNumberFormat="1" applyFont="1" applyFill="1" applyBorder="1" applyAlignment="1">
      <alignment horizontal="center"/>
    </xf>
    <xf numFmtId="168" fontId="2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 applyAlignment="1">
      <alignment horizontal="left" vertical="top"/>
    </xf>
    <xf numFmtId="49" fontId="11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/>
    <xf numFmtId="0" fontId="2" fillId="4" borderId="1" xfId="0" applyNumberFormat="1" applyFont="1" applyFill="1" applyBorder="1" applyAlignment="1"/>
    <xf numFmtId="0" fontId="4" fillId="4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/>
    <xf numFmtId="49" fontId="9" fillId="2" borderId="1" xfId="0" applyNumberFormat="1" applyFont="1" applyFill="1" applyBorder="1" applyAlignment="1"/>
    <xf numFmtId="3" fontId="2" fillId="4" borderId="1" xfId="0" applyNumberFormat="1" applyFont="1" applyFill="1" applyBorder="1" applyAlignment="1"/>
    <xf numFmtId="3" fontId="2" fillId="4" borderId="1" xfId="0" applyNumberFormat="1" applyFont="1" applyFill="1" applyBorder="1" applyAlignment="1">
      <alignment horizontal="right"/>
    </xf>
    <xf numFmtId="0" fontId="0" fillId="4" borderId="1" xfId="0" applyNumberFormat="1" applyFont="1" applyFill="1" applyBorder="1" applyAlignment="1"/>
    <xf numFmtId="49" fontId="7" fillId="4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/>
    <xf numFmtId="49" fontId="2" fillId="4" borderId="1" xfId="0" applyNumberFormat="1" applyFont="1" applyFill="1" applyBorder="1" applyAlignment="1">
      <alignment horizontal="left"/>
    </xf>
    <xf numFmtId="49" fontId="2" fillId="4" borderId="1" xfId="0" applyNumberFormat="1" applyFont="1" applyFill="1" applyBorder="1" applyAlignment="1">
      <alignment horizontal="center"/>
    </xf>
    <xf numFmtId="169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/>
    <xf numFmtId="1" fontId="2" fillId="2" borderId="1" xfId="0" applyNumberFormat="1" applyFont="1" applyFill="1" applyBorder="1" applyAlignment="1"/>
    <xf numFmtId="4" fontId="4" fillId="4" borderId="1" xfId="0" applyNumberFormat="1" applyFont="1" applyFill="1" applyBorder="1" applyAlignment="1">
      <alignment horizontal="center"/>
    </xf>
    <xf numFmtId="167" fontId="2" fillId="3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/>
    <xf numFmtId="165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70" fontId="2" fillId="2" borderId="1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/>
    <xf numFmtId="171" fontId="2" fillId="2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173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74" fontId="2" fillId="3" borderId="1" xfId="0" applyNumberFormat="1" applyFont="1" applyFill="1" applyBorder="1" applyAlignment="1">
      <alignment horizontal="center"/>
    </xf>
    <xf numFmtId="9" fontId="2" fillId="3" borderId="1" xfId="0" applyNumberFormat="1" applyFont="1" applyFill="1" applyBorder="1" applyAlignment="1">
      <alignment horizontal="center"/>
    </xf>
    <xf numFmtId="174" fontId="2" fillId="4" borderId="1" xfId="0" applyNumberFormat="1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75" fontId="2" fillId="4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EFB00"/>
      <rgbColor rgb="FFFF0000"/>
      <rgbColor rgb="FFFF2600"/>
      <rgbColor rgb="FF61E1EB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5"/>
  <sheetViews>
    <sheetView showGridLines="0" tabSelected="1" workbookViewId="0">
      <selection activeCell="I3" sqref="I3"/>
    </sheetView>
  </sheetViews>
  <sheetFormatPr baseColWidth="10" defaultColWidth="12.5" defaultRowHeight="13" customHeight="1" x14ac:dyDescent="0.2"/>
  <cols>
    <col min="1" max="1" width="13.5" style="1" customWidth="1"/>
    <col min="2" max="2" width="9.1640625" style="1" customWidth="1"/>
    <col min="3" max="3" width="14.33203125" style="1" customWidth="1"/>
    <col min="4" max="4" width="8.83203125" style="1" customWidth="1"/>
    <col min="5" max="5" width="11.5" style="1" customWidth="1"/>
    <col min="6" max="6" width="8.1640625" style="1" customWidth="1"/>
    <col min="7" max="7" width="11.1640625" style="1" customWidth="1"/>
    <col min="8" max="8" width="9.5" style="1" customWidth="1"/>
    <col min="9" max="9" width="12.1640625" style="1" customWidth="1"/>
    <col min="10" max="10" width="11.5" style="1" customWidth="1"/>
    <col min="11" max="11" width="1.5" style="1" customWidth="1"/>
    <col min="12" max="12" width="13" style="1" customWidth="1"/>
    <col min="13" max="13" width="14.1640625" style="1" customWidth="1"/>
    <col min="14" max="14" width="13.5" style="1" customWidth="1"/>
    <col min="15" max="15" width="11.5" style="1" customWidth="1"/>
    <col min="16" max="16" width="13" style="1" customWidth="1"/>
    <col min="17" max="17" width="7.5" style="1" customWidth="1"/>
    <col min="18" max="18" width="12.83203125" style="1" customWidth="1"/>
    <col min="19" max="19" width="16.5" style="1" customWidth="1"/>
    <col min="20" max="20" width="11.5" style="1" customWidth="1"/>
    <col min="21" max="21" width="6.1640625" style="1" customWidth="1"/>
    <col min="22" max="23" width="5.5" style="1" customWidth="1"/>
    <col min="24" max="26" width="6.1640625" style="1" customWidth="1"/>
    <col min="27" max="28" width="12.5" style="1" customWidth="1"/>
    <col min="29" max="256" width="12.5" customWidth="1"/>
  </cols>
  <sheetData>
    <row r="1" spans="1:28" ht="15" customHeight="1" x14ac:dyDescent="0.2">
      <c r="A1" s="2" t="s">
        <v>0</v>
      </c>
      <c r="B1" s="3"/>
      <c r="C1" s="4" t="s">
        <v>1</v>
      </c>
      <c r="D1" s="5" t="s">
        <v>2</v>
      </c>
      <c r="E1" s="6" t="s">
        <v>3</v>
      </c>
      <c r="F1" s="7" t="s">
        <v>4</v>
      </c>
      <c r="G1" s="8"/>
      <c r="H1" s="9" t="s">
        <v>5</v>
      </c>
      <c r="I1" s="10"/>
      <c r="J1" s="11">
        <v>41329</v>
      </c>
      <c r="K1" s="12"/>
      <c r="L1" s="13" t="s">
        <v>6</v>
      </c>
      <c r="M1" s="12"/>
      <c r="N1" s="14"/>
      <c r="O1" s="15"/>
      <c r="P1" s="16" t="s">
        <v>7</v>
      </c>
      <c r="Q1" s="3"/>
      <c r="R1" s="3"/>
      <c r="S1" s="3"/>
      <c r="T1" s="3"/>
      <c r="U1" s="3"/>
      <c r="V1" s="3"/>
      <c r="W1" s="17"/>
      <c r="X1" s="3"/>
      <c r="Y1" s="3"/>
      <c r="Z1" s="3"/>
      <c r="AA1" s="3"/>
      <c r="AB1" s="3"/>
    </row>
    <row r="2" spans="1:28" ht="15" customHeight="1" x14ac:dyDescent="0.2">
      <c r="A2" s="18" t="s">
        <v>8</v>
      </c>
      <c r="B2" s="19" t="s">
        <v>9</v>
      </c>
      <c r="C2" s="20">
        <v>2000</v>
      </c>
      <c r="D2" s="5" t="s">
        <v>10</v>
      </c>
      <c r="E2" s="21" t="s">
        <v>11</v>
      </c>
      <c r="F2" s="6" t="s">
        <v>12</v>
      </c>
      <c r="G2" s="21" t="s">
        <v>13</v>
      </c>
      <c r="H2" s="21" t="s">
        <v>14</v>
      </c>
      <c r="I2" s="21" t="s">
        <v>14</v>
      </c>
      <c r="J2" s="22" t="s">
        <v>15</v>
      </c>
      <c r="K2" s="12"/>
      <c r="L2" s="23" t="s">
        <v>16</v>
      </c>
      <c r="M2" s="24"/>
      <c r="N2" s="24"/>
      <c r="O2" s="25"/>
      <c r="P2" s="26"/>
      <c r="Q2" s="3"/>
      <c r="R2" s="3"/>
      <c r="S2" s="3"/>
      <c r="T2" s="3"/>
      <c r="U2" s="3"/>
      <c r="V2" s="14"/>
      <c r="W2" s="14"/>
      <c r="X2" s="14"/>
      <c r="Y2" s="14"/>
      <c r="Z2" s="14"/>
      <c r="AA2" s="14"/>
      <c r="AB2" s="14"/>
    </row>
    <row r="3" spans="1:28" ht="15" customHeight="1" x14ac:dyDescent="0.2">
      <c r="A3" s="18" t="s">
        <v>17</v>
      </c>
      <c r="B3" s="27">
        <v>31</v>
      </c>
      <c r="C3" s="17"/>
      <c r="D3" s="8">
        <v>1</v>
      </c>
      <c r="E3" s="8">
        <v>1</v>
      </c>
      <c r="F3" s="26"/>
      <c r="G3" s="26"/>
      <c r="H3" s="26"/>
      <c r="I3" s="26"/>
      <c r="J3" s="28"/>
      <c r="K3" s="12"/>
      <c r="L3" s="29">
        <v>16</v>
      </c>
      <c r="M3" s="30" t="s">
        <v>18</v>
      </c>
      <c r="N3" s="25"/>
      <c r="O3" s="23" t="s">
        <v>19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4" spans="1:28" ht="15" customHeight="1" x14ac:dyDescent="0.2">
      <c r="A4" s="31"/>
      <c r="B4" s="3"/>
      <c r="C4" s="28"/>
      <c r="D4" s="18" t="s">
        <v>20</v>
      </c>
      <c r="E4" s="8">
        <v>1</v>
      </c>
      <c r="F4" s="32" t="s">
        <v>21</v>
      </c>
      <c r="G4" s="15"/>
      <c r="H4" s="26"/>
      <c r="I4" s="31"/>
      <c r="J4" s="22" t="s">
        <v>22</v>
      </c>
      <c r="K4" s="12"/>
      <c r="L4" s="29">
        <v>160</v>
      </c>
      <c r="M4" s="30" t="s">
        <v>23</v>
      </c>
      <c r="N4" s="24"/>
      <c r="O4" s="30" t="s">
        <v>24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5" customHeight="1" x14ac:dyDescent="0.2">
      <c r="A5" s="18" t="s">
        <v>25</v>
      </c>
      <c r="B5" s="33">
        <f>(E6+F6+G6)/D3</f>
        <v>100</v>
      </c>
      <c r="C5" s="17"/>
      <c r="D5" s="18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31</v>
      </c>
      <c r="J5" s="28"/>
      <c r="K5" s="12"/>
      <c r="L5" s="23" t="s">
        <v>32</v>
      </c>
      <c r="M5" s="25"/>
      <c r="N5" s="24"/>
      <c r="O5" s="23" t="s">
        <v>33</v>
      </c>
      <c r="P5" s="26"/>
      <c r="Q5" s="3"/>
      <c r="R5" s="3"/>
      <c r="S5" s="15"/>
      <c r="T5" s="34"/>
      <c r="U5" s="34"/>
      <c r="V5" s="34"/>
      <c r="W5" s="3"/>
      <c r="X5" s="14"/>
      <c r="Y5" s="14"/>
      <c r="Z5" s="14"/>
      <c r="AA5" s="14"/>
      <c r="AB5" s="14"/>
    </row>
    <row r="6" spans="1:28" ht="15" customHeight="1" x14ac:dyDescent="0.2">
      <c r="A6" s="12"/>
      <c r="B6" s="3"/>
      <c r="C6" s="12"/>
      <c r="D6" s="18" t="s">
        <v>34</v>
      </c>
      <c r="E6" s="8">
        <v>100</v>
      </c>
      <c r="F6" s="8"/>
      <c r="G6" s="8"/>
      <c r="H6" s="8"/>
      <c r="I6" s="8"/>
      <c r="J6" s="22" t="s">
        <v>35</v>
      </c>
      <c r="K6" s="12"/>
      <c r="L6" s="25"/>
      <c r="M6" s="30" t="s">
        <v>36</v>
      </c>
      <c r="N6" s="24"/>
      <c r="O6" s="25"/>
      <c r="P6" s="26"/>
      <c r="Q6" s="3"/>
      <c r="R6" s="3"/>
      <c r="S6" s="3"/>
      <c r="T6" s="35"/>
      <c r="U6" s="26"/>
      <c r="V6" s="26"/>
      <c r="W6" s="14"/>
      <c r="X6" s="14"/>
      <c r="Y6" s="14"/>
      <c r="Z6" s="14"/>
      <c r="AA6" s="14"/>
      <c r="AB6" s="14"/>
    </row>
    <row r="7" spans="1:28" ht="15" customHeight="1" x14ac:dyDescent="0.2">
      <c r="A7" s="14"/>
      <c r="B7" s="14"/>
      <c r="C7" s="28"/>
      <c r="D7" s="18" t="s">
        <v>37</v>
      </c>
      <c r="E7" s="8">
        <v>2</v>
      </c>
      <c r="F7" s="8"/>
      <c r="G7" s="8"/>
      <c r="H7" s="8"/>
      <c r="I7" s="8"/>
      <c r="J7" s="28"/>
      <c r="K7" s="12"/>
      <c r="L7" s="30" t="s">
        <v>38</v>
      </c>
      <c r="M7" s="25"/>
      <c r="N7" s="23" t="s">
        <v>39</v>
      </c>
      <c r="O7" s="24"/>
      <c r="P7" s="26"/>
      <c r="Q7" s="3"/>
      <c r="R7" s="3"/>
      <c r="S7" s="3"/>
      <c r="T7" s="3"/>
      <c r="U7" s="26"/>
      <c r="V7" s="26"/>
      <c r="W7" s="14"/>
      <c r="X7" s="14"/>
      <c r="Y7" s="14"/>
      <c r="Z7" s="14"/>
      <c r="AA7" s="14"/>
      <c r="AB7" s="14"/>
    </row>
    <row r="8" spans="1:28" ht="15" customHeight="1" x14ac:dyDescent="0.2">
      <c r="A8" s="31"/>
      <c r="B8" s="3"/>
      <c r="C8" s="28"/>
      <c r="D8" s="18" t="s">
        <v>40</v>
      </c>
      <c r="E8" s="8">
        <v>2</v>
      </c>
      <c r="F8" s="8"/>
      <c r="G8" s="8"/>
      <c r="H8" s="8"/>
      <c r="I8" s="8"/>
      <c r="J8" s="22" t="s">
        <v>41</v>
      </c>
      <c r="K8" s="12"/>
      <c r="L8" s="30" t="s">
        <v>42</v>
      </c>
      <c r="M8" s="25"/>
      <c r="N8" s="24"/>
      <c r="O8" s="36"/>
      <c r="P8" s="26"/>
      <c r="Q8" s="3"/>
      <c r="R8" s="3"/>
      <c r="S8" s="3"/>
      <c r="T8" s="3"/>
      <c r="U8" s="3"/>
      <c r="V8" s="3"/>
      <c r="W8" s="14"/>
      <c r="X8" s="14"/>
      <c r="Y8" s="14"/>
      <c r="Z8" s="14"/>
      <c r="AA8" s="14"/>
      <c r="AB8" s="14"/>
    </row>
    <row r="9" spans="1:28" ht="15" customHeight="1" x14ac:dyDescent="0.2">
      <c r="A9" s="12"/>
      <c r="B9" s="3"/>
      <c r="C9" s="28"/>
      <c r="D9" s="18" t="s">
        <v>43</v>
      </c>
      <c r="E9" s="8">
        <v>8</v>
      </c>
      <c r="F9" s="8"/>
      <c r="G9" s="8"/>
      <c r="H9" s="8"/>
      <c r="I9" s="8"/>
      <c r="J9" s="37">
        <f>J3-((E6*E7)+(F6*F7)+(G6*G7)+(H6*H7)+(I6*I7))*B3/$L$3</f>
        <v>-387.5</v>
      </c>
      <c r="K9" s="3"/>
      <c r="L9" s="23" t="s">
        <v>44</v>
      </c>
      <c r="M9" s="25"/>
      <c r="N9" s="25"/>
      <c r="O9" s="25"/>
      <c r="P9" s="26"/>
      <c r="Q9" s="3"/>
      <c r="R9" s="3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6" customHeight="1" x14ac:dyDescent="0.2">
      <c r="A10" s="14"/>
      <c r="B10" s="14"/>
      <c r="C10" s="14"/>
      <c r="D10" s="18" t="s">
        <v>45</v>
      </c>
      <c r="E10" s="8"/>
      <c r="F10" s="8"/>
      <c r="G10" s="8"/>
      <c r="H10" s="8"/>
      <c r="I10" s="8"/>
      <c r="J10" s="22" t="s">
        <v>46</v>
      </c>
      <c r="K10" s="3"/>
      <c r="L10" s="23" t="s">
        <v>47</v>
      </c>
      <c r="M10" s="25"/>
      <c r="N10" s="25"/>
      <c r="O10" s="25"/>
      <c r="P10" s="26"/>
      <c r="Q10" s="3"/>
      <c r="R10" s="38"/>
      <c r="S10" s="3"/>
      <c r="T10" s="3"/>
      <c r="U10" s="3"/>
      <c r="V10" s="3"/>
      <c r="W10" s="3"/>
      <c r="X10" s="14"/>
      <c r="Y10" s="14"/>
      <c r="Z10" s="14"/>
      <c r="AA10" s="14"/>
      <c r="AB10" s="14"/>
    </row>
    <row r="11" spans="1:28" ht="16" customHeight="1" x14ac:dyDescent="0.2">
      <c r="A11" s="12"/>
      <c r="B11" s="3"/>
      <c r="C11" s="28"/>
      <c r="D11" s="18" t="s">
        <v>48</v>
      </c>
      <c r="E11" s="39">
        <f>E7+E8+E9+E10</f>
        <v>12</v>
      </c>
      <c r="F11" s="39">
        <f>F7+F8+F9+F10</f>
        <v>0</v>
      </c>
      <c r="G11" s="39">
        <f>G7+G8+G9+G10</f>
        <v>0</v>
      </c>
      <c r="H11" s="39">
        <f>H7+H8+H9+H10</f>
        <v>0</v>
      </c>
      <c r="I11" s="39">
        <f>I7+I8+I9+I10</f>
        <v>0</v>
      </c>
      <c r="J11" s="37">
        <f>J5-((E6*E8)+(F6*F8)+(G6*G8)+(H6*H8)+(I6*I8))*B3/$L$4</f>
        <v>-38.75</v>
      </c>
      <c r="K11" s="12"/>
      <c r="L11" s="23" t="s">
        <v>49</v>
      </c>
      <c r="M11" s="24"/>
      <c r="N11" s="24"/>
      <c r="O11" s="30" t="s">
        <v>50</v>
      </c>
      <c r="P11" s="26"/>
      <c r="Q11" s="3"/>
      <c r="R11" s="3"/>
      <c r="S11" s="3"/>
      <c r="T11" s="34"/>
      <c r="U11" s="34"/>
      <c r="V11" s="34"/>
      <c r="W11" s="3"/>
      <c r="X11" s="14"/>
      <c r="Y11" s="14"/>
      <c r="Z11" s="14"/>
      <c r="AA11" s="14"/>
      <c r="AB11" s="14"/>
    </row>
    <row r="12" spans="1:28" ht="16" customHeight="1" x14ac:dyDescent="0.2">
      <c r="A12" s="14"/>
      <c r="B12" s="14"/>
      <c r="C12" s="18" t="s">
        <v>51</v>
      </c>
      <c r="D12" s="33">
        <f>D13/B3</f>
        <v>84.615384615384613</v>
      </c>
      <c r="E12" s="40" t="s">
        <v>52</v>
      </c>
      <c r="F12" s="26"/>
      <c r="G12" s="26"/>
      <c r="H12" s="22" t="s">
        <v>53</v>
      </c>
      <c r="I12" s="28"/>
      <c r="J12" s="22" t="s">
        <v>54</v>
      </c>
      <c r="K12" s="3"/>
      <c r="L12" s="30" t="s">
        <v>55</v>
      </c>
      <c r="M12" s="25"/>
      <c r="N12" s="25"/>
      <c r="O12" s="25"/>
      <c r="P12" s="26"/>
      <c r="Q12" s="14"/>
      <c r="R12" s="31"/>
      <c r="S12" s="41"/>
      <c r="T12" s="26"/>
      <c r="U12" s="26"/>
      <c r="V12" s="42"/>
      <c r="W12" s="3"/>
      <c r="X12" s="3"/>
      <c r="Y12" s="3"/>
      <c r="Z12" s="3"/>
      <c r="AA12" s="3"/>
      <c r="AB12" s="14"/>
    </row>
    <row r="13" spans="1:28" ht="16" customHeight="1" x14ac:dyDescent="0.2">
      <c r="A13" s="14"/>
      <c r="B13" s="14"/>
      <c r="C13" s="18" t="s">
        <v>56</v>
      </c>
      <c r="D13" s="37">
        <f>(E6*B3*E7*$O$44/E13)+(E6*B3*E8*$Q$44/E13)+(E6*B3*E9*$S$44/E13)+(E6*B3*E10*$U$44/E13)</f>
        <v>2623.0769230769229</v>
      </c>
      <c r="E13" s="37">
        <f>R31</f>
        <v>13</v>
      </c>
      <c r="F13" s="26"/>
      <c r="G13" s="26"/>
      <c r="H13" s="39">
        <f>(D13/E6/B3)</f>
        <v>0.84615384615384615</v>
      </c>
      <c r="I13" s="28"/>
      <c r="J13" s="33">
        <f>J7-((E6*E10)+(F6*F10)+(G6*G10)+(H6*H10)+(I6*I10))*B3/1000</f>
        <v>0</v>
      </c>
      <c r="K13" s="12"/>
      <c r="L13" s="30" t="s">
        <v>57</v>
      </c>
      <c r="M13" s="25"/>
      <c r="N13" s="24"/>
      <c r="O13" s="24"/>
      <c r="P13" s="26"/>
      <c r="Q13" s="3"/>
      <c r="R13" s="26"/>
      <c r="S13" s="41"/>
      <c r="T13" s="3"/>
      <c r="U13" s="3"/>
      <c r="V13" s="3"/>
      <c r="W13" s="3"/>
      <c r="X13" s="3"/>
      <c r="Y13" s="14"/>
      <c r="Z13" s="14"/>
      <c r="AA13" s="14"/>
      <c r="AB13" s="14"/>
    </row>
    <row r="14" spans="1:28" ht="16" customHeight="1" x14ac:dyDescent="0.2">
      <c r="A14" s="31"/>
      <c r="B14" s="18" t="s">
        <v>58</v>
      </c>
      <c r="C14" s="43">
        <f>C2+((B3*E3*E4)-((E6*E9)+(F6*F9)+(G6*G9)+(H6*H9)+(I6*I9))*B3)/E3</f>
        <v>-22769</v>
      </c>
      <c r="D14" s="44" t="s">
        <v>59</v>
      </c>
      <c r="E14" s="45" t="s">
        <v>60</v>
      </c>
      <c r="F14" s="45" t="s">
        <v>61</v>
      </c>
      <c r="G14" s="45" t="s">
        <v>62</v>
      </c>
      <c r="H14" s="45" t="s">
        <v>63</v>
      </c>
      <c r="I14" s="45" t="s">
        <v>22</v>
      </c>
      <c r="J14" s="22" t="s">
        <v>64</v>
      </c>
      <c r="K14" s="12"/>
      <c r="L14" s="30" t="s">
        <v>65</v>
      </c>
      <c r="M14" s="24"/>
      <c r="N14" s="24"/>
      <c r="O14" s="24"/>
      <c r="P14" s="26"/>
      <c r="Q14" s="31"/>
      <c r="R14" s="26"/>
      <c r="S14" s="46"/>
      <c r="T14" s="26"/>
      <c r="U14" s="42"/>
      <c r="V14" s="42"/>
      <c r="W14" s="3"/>
      <c r="X14" s="14"/>
      <c r="Y14" s="14"/>
      <c r="Z14" s="14"/>
      <c r="AA14" s="14"/>
      <c r="AB14" s="14"/>
    </row>
    <row r="15" spans="1:28" ht="16" customHeight="1" x14ac:dyDescent="0.2">
      <c r="A15" s="12"/>
      <c r="B15" s="3"/>
      <c r="C15" s="17"/>
      <c r="D15" s="18" t="s">
        <v>66</v>
      </c>
      <c r="E15" s="33">
        <f>((E3*E4*B3)-(((E6*E9)+(F6*F9)+(G6*G9)+(H6*H9)+(I6*I9))*B3))/B3/E4</f>
        <v>-799</v>
      </c>
      <c r="F15" s="37">
        <f>((E3*E4*B3)-(((E6*E9)+(F6*F9)+(G6*G9)+(H6*H9)+(I6*I9))*B3))/B3</f>
        <v>-799</v>
      </c>
      <c r="G15" s="37">
        <f>((E3*E4*B3)-(((E6*E9)+(F6*F9)+(G6*G9)+(H6*H9)+(I6*I9))*B3))/B3/$L$3</f>
        <v>-49.9375</v>
      </c>
      <c r="H15" s="37">
        <f>((E3*E4*B3)-(((E6*E9)+(F6*F9)+(G6*G9)+(H6*H9)+(I6*I9))*B3))/B3</f>
        <v>-799</v>
      </c>
      <c r="I15" s="37">
        <f>((E3*E4*B3)-(((E6*E9)+(F6*F9)+(G6*G9)+(H6*H9)+(I6*I9))*B3))/B3/$L$4</f>
        <v>-4.9937500000000004</v>
      </c>
      <c r="J15" s="27"/>
      <c r="K15" s="3"/>
      <c r="L15" s="23" t="s">
        <v>67</v>
      </c>
      <c r="M15" s="25"/>
      <c r="N15" s="25"/>
      <c r="O15" s="25"/>
      <c r="P15" s="3"/>
      <c r="Q15" s="3"/>
      <c r="R15" s="32" t="s">
        <v>68</v>
      </c>
      <c r="S15" s="3"/>
      <c r="T15" s="3"/>
      <c r="U15" s="3"/>
      <c r="V15" s="3"/>
      <c r="W15" s="14"/>
      <c r="X15" s="14"/>
      <c r="Y15" s="14"/>
      <c r="Z15" s="14"/>
      <c r="AA15" s="14"/>
      <c r="AB15" s="14"/>
    </row>
    <row r="16" spans="1:28" ht="14.25" customHeight="1" x14ac:dyDescent="0.2">
      <c r="A16" s="3"/>
      <c r="B16" s="47" t="s">
        <v>209</v>
      </c>
      <c r="C16" s="17"/>
      <c r="D16" s="3"/>
      <c r="E16" s="3"/>
      <c r="F16" s="26"/>
      <c r="G16" s="26"/>
      <c r="H16" s="26"/>
      <c r="I16" s="28"/>
      <c r="J16" s="28"/>
      <c r="K16" s="12"/>
      <c r="L16" s="48" t="s">
        <v>69</v>
      </c>
      <c r="M16" s="49"/>
      <c r="N16" s="3"/>
      <c r="O16" s="3"/>
      <c r="P16" s="34"/>
      <c r="Q16" s="38"/>
      <c r="R16" s="3"/>
      <c r="S16" s="3"/>
      <c r="T16" s="3"/>
      <c r="U16" s="3"/>
      <c r="V16" s="3"/>
      <c r="W16" s="3"/>
      <c r="X16" s="14"/>
      <c r="Y16" s="14"/>
      <c r="Z16" s="14"/>
      <c r="AA16" s="14"/>
      <c r="AB16" s="14"/>
    </row>
    <row r="17" spans="1:28" ht="16" customHeight="1" x14ac:dyDescent="0.2">
      <c r="A17" s="50" t="str">
        <f>A2</f>
        <v>Enter cover/ha at 1</v>
      </c>
      <c r="B17" s="19" t="s">
        <v>70</v>
      </c>
      <c r="C17" s="51">
        <f>C14</f>
        <v>-22769</v>
      </c>
      <c r="D17" s="52" t="str">
        <f t="shared" ref="D17:J17" si="0">D2</f>
        <v>hectares</v>
      </c>
      <c r="E17" s="52" t="str">
        <f t="shared" si="0"/>
        <v>ha or acres</v>
      </c>
      <c r="F17" s="52" t="str">
        <f t="shared" si="0"/>
        <v>Crop ha/a</v>
      </c>
      <c r="G17" s="52" t="str">
        <f t="shared" si="0"/>
        <v>NewGrass ha/a</v>
      </c>
      <c r="H17" s="52" t="str">
        <f t="shared" si="0"/>
        <v>Other ha/a</v>
      </c>
      <c r="I17" s="52" t="str">
        <f t="shared" si="0"/>
        <v>Other ha/a</v>
      </c>
      <c r="J17" s="53" t="str">
        <f t="shared" si="0"/>
        <v># 20 kg Bales</v>
      </c>
      <c r="K17" s="12"/>
      <c r="L17" s="22" t="s">
        <v>71</v>
      </c>
      <c r="M17" s="22" t="s">
        <v>72</v>
      </c>
      <c r="N17" s="22" t="s">
        <v>73</v>
      </c>
      <c r="O17" s="22" t="s">
        <v>74</v>
      </c>
      <c r="P17" s="22" t="s">
        <v>75</v>
      </c>
      <c r="Q17" s="22" t="s">
        <v>76</v>
      </c>
      <c r="R17" s="22" t="s">
        <v>77</v>
      </c>
      <c r="S17" s="21" t="s">
        <v>78</v>
      </c>
      <c r="T17" s="34"/>
      <c r="U17" s="3"/>
      <c r="V17" s="3"/>
      <c r="W17" s="3"/>
      <c r="X17" s="14"/>
      <c r="Y17" s="14"/>
      <c r="Z17" s="14"/>
      <c r="AA17" s="14"/>
      <c r="AB17" s="14"/>
    </row>
    <row r="18" spans="1:28" ht="16" customHeight="1" x14ac:dyDescent="0.2">
      <c r="A18" s="50" t="str">
        <f>A3</f>
        <v># of days in month</v>
      </c>
      <c r="B18" s="27">
        <v>30</v>
      </c>
      <c r="C18" s="28"/>
      <c r="D18" s="54">
        <f>D3</f>
        <v>1</v>
      </c>
      <c r="E18" s="54">
        <f>D18-F18-G18-H18-I18</f>
        <v>1</v>
      </c>
      <c r="F18" s="8"/>
      <c r="G18" s="8"/>
      <c r="H18" s="8"/>
      <c r="I18" s="8"/>
      <c r="J18" s="37">
        <f>J9</f>
        <v>-387.5</v>
      </c>
      <c r="K18" s="12"/>
      <c r="L18" s="26">
        <v>25</v>
      </c>
      <c r="M18" s="26">
        <v>600</v>
      </c>
      <c r="N18" s="26">
        <v>700</v>
      </c>
      <c r="O18" s="26">
        <v>500</v>
      </c>
      <c r="P18" s="26">
        <v>600</v>
      </c>
      <c r="Q18" s="28">
        <f t="shared" ref="Q18:Q23" si="1">M18/L18</f>
        <v>24</v>
      </c>
      <c r="R18" s="28">
        <v>1</v>
      </c>
      <c r="S18" s="55" t="s">
        <v>79</v>
      </c>
      <c r="T18" s="3"/>
      <c r="U18" s="34"/>
      <c r="V18" s="3"/>
      <c r="W18" s="3"/>
      <c r="X18" s="14"/>
      <c r="Y18" s="14"/>
      <c r="Z18" s="14"/>
      <c r="AA18" s="14"/>
      <c r="AB18" s="14"/>
    </row>
    <row r="19" spans="1:28" ht="16" customHeight="1" x14ac:dyDescent="0.2">
      <c r="A19" s="12"/>
      <c r="B19" s="56"/>
      <c r="C19" s="37"/>
      <c r="D19" s="50" t="str">
        <f>D4</f>
        <v>Enter your pasture dry matter daily growth figure.</v>
      </c>
      <c r="E19" s="8">
        <v>30</v>
      </c>
      <c r="F19" s="57"/>
      <c r="G19" s="57"/>
      <c r="H19" s="54"/>
      <c r="I19" s="50" t="s">
        <v>80</v>
      </c>
      <c r="J19" s="53" t="str">
        <f>J4</f>
        <v>m3 Silage</v>
      </c>
      <c r="K19" s="12"/>
      <c r="L19" s="26">
        <v>50</v>
      </c>
      <c r="M19" s="26">
        <v>900</v>
      </c>
      <c r="N19" s="26">
        <v>1000</v>
      </c>
      <c r="O19" s="26">
        <v>800</v>
      </c>
      <c r="P19" s="26">
        <v>900</v>
      </c>
      <c r="Q19" s="28">
        <f t="shared" si="1"/>
        <v>18</v>
      </c>
      <c r="R19" s="28">
        <v>2</v>
      </c>
      <c r="S19" s="18" t="s">
        <v>81</v>
      </c>
      <c r="T19" s="58"/>
      <c r="U19" s="59" t="s">
        <v>82</v>
      </c>
      <c r="V19" s="14"/>
      <c r="W19" s="14"/>
      <c r="X19" s="14"/>
      <c r="Y19" s="14"/>
      <c r="Z19" s="14"/>
      <c r="AA19" s="14"/>
      <c r="AB19" s="14"/>
    </row>
    <row r="20" spans="1:28" ht="16" customHeight="1" x14ac:dyDescent="0.2">
      <c r="A20" s="50" t="str">
        <f>A5</f>
        <v>Cows/ha or acre</v>
      </c>
      <c r="B20" s="39">
        <f>(E21+F21+G21)/D18</f>
        <v>100</v>
      </c>
      <c r="C20" s="60"/>
      <c r="D20" s="50" t="str">
        <f>D5</f>
        <v>Livestock Types</v>
      </c>
      <c r="E20" s="52" t="str">
        <f>E5</f>
        <v>Cows</v>
      </c>
      <c r="F20" s="52" t="str">
        <f>F5</f>
        <v>Fat Dries</v>
      </c>
      <c r="G20" s="52" t="str">
        <f>G5</f>
        <v>Thin Dries</v>
      </c>
      <c r="H20" s="52" t="str">
        <f>H5</f>
        <v>Yearlings</v>
      </c>
      <c r="I20" s="52" t="str">
        <f>I5</f>
        <v>Calves</v>
      </c>
      <c r="J20" s="37">
        <f>J11</f>
        <v>-38.75</v>
      </c>
      <c r="K20" s="12"/>
      <c r="L20" s="26">
        <v>100</v>
      </c>
      <c r="M20" s="26">
        <v>1500</v>
      </c>
      <c r="N20" s="26">
        <v>1600</v>
      </c>
      <c r="O20" s="26">
        <v>1400</v>
      </c>
      <c r="P20" s="26">
        <v>1500</v>
      </c>
      <c r="Q20" s="28">
        <f t="shared" si="1"/>
        <v>15</v>
      </c>
      <c r="R20" s="28">
        <v>4</v>
      </c>
      <c r="S20" s="18" t="s">
        <v>83</v>
      </c>
      <c r="T20" s="58"/>
      <c r="U20" s="59" t="s">
        <v>82</v>
      </c>
      <c r="V20" s="14"/>
      <c r="W20" s="14"/>
      <c r="X20" s="14"/>
      <c r="Y20" s="14"/>
      <c r="Z20" s="14"/>
      <c r="AA20" s="14"/>
      <c r="AB20" s="14"/>
    </row>
    <row r="21" spans="1:28" ht="16" customHeight="1" x14ac:dyDescent="0.2">
      <c r="A21" s="12"/>
      <c r="B21" s="56"/>
      <c r="C21" s="61"/>
      <c r="D21" s="50" t="s">
        <v>84</v>
      </c>
      <c r="E21" s="8">
        <v>100</v>
      </c>
      <c r="F21" s="8"/>
      <c r="G21" s="8"/>
      <c r="H21" s="8"/>
      <c r="I21" s="8"/>
      <c r="J21" s="53" t="str">
        <f>J6</f>
        <v>Tonnes Grain</v>
      </c>
      <c r="K21" s="12"/>
      <c r="L21" s="26">
        <v>150</v>
      </c>
      <c r="M21" s="26">
        <v>2200</v>
      </c>
      <c r="N21" s="26">
        <v>2300</v>
      </c>
      <c r="O21" s="26">
        <v>2100</v>
      </c>
      <c r="P21" s="26">
        <v>2200</v>
      </c>
      <c r="Q21" s="28">
        <f t="shared" si="1"/>
        <v>14.666666666666666</v>
      </c>
      <c r="R21" s="28">
        <v>6</v>
      </c>
      <c r="S21" s="18" t="s">
        <v>83</v>
      </c>
      <c r="T21" s="58"/>
      <c r="U21" s="59" t="s">
        <v>82</v>
      </c>
      <c r="V21" s="14"/>
      <c r="W21" s="14"/>
      <c r="X21" s="14"/>
      <c r="Y21" s="14"/>
      <c r="Z21" s="14"/>
      <c r="AA21" s="14"/>
      <c r="AB21" s="14"/>
    </row>
    <row r="22" spans="1:28" ht="16" customHeight="1" x14ac:dyDescent="0.2">
      <c r="A22" s="12"/>
      <c r="B22" s="3"/>
      <c r="C22" s="37"/>
      <c r="D22" s="50" t="str">
        <f>D7</f>
        <v>Enter kg DM of hay/animal/day</v>
      </c>
      <c r="E22" s="8" t="s">
        <v>208</v>
      </c>
      <c r="F22" s="8"/>
      <c r="G22" s="8"/>
      <c r="H22" s="8"/>
      <c r="I22" s="8"/>
      <c r="J22" s="33">
        <f>J13</f>
        <v>0</v>
      </c>
      <c r="K22" s="12"/>
      <c r="L22" s="26">
        <v>200</v>
      </c>
      <c r="M22" s="26">
        <v>2800</v>
      </c>
      <c r="N22" s="26">
        <v>3000</v>
      </c>
      <c r="O22" s="26">
        <v>2700</v>
      </c>
      <c r="P22" s="26">
        <v>2800</v>
      </c>
      <c r="Q22" s="28">
        <f t="shared" si="1"/>
        <v>14</v>
      </c>
      <c r="R22" s="28">
        <v>8</v>
      </c>
      <c r="S22" s="18" t="s">
        <v>85</v>
      </c>
      <c r="T22" s="58"/>
      <c r="U22" s="59" t="s">
        <v>82</v>
      </c>
      <c r="V22" s="14"/>
      <c r="W22" s="14"/>
      <c r="X22" s="14"/>
      <c r="Y22" s="14"/>
      <c r="Z22" s="14"/>
      <c r="AA22" s="14"/>
      <c r="AB22" s="14"/>
    </row>
    <row r="23" spans="1:28" ht="15" customHeight="1" x14ac:dyDescent="0.2">
      <c r="A23" s="12"/>
      <c r="B23" s="3"/>
      <c r="C23" s="37"/>
      <c r="D23" s="50" t="str">
        <f>D8</f>
        <v>Enter kg DM of silage/animal/day</v>
      </c>
      <c r="E23" s="8"/>
      <c r="F23" s="8"/>
      <c r="G23" s="8"/>
      <c r="H23" s="8"/>
      <c r="I23" s="8"/>
      <c r="J23" s="53" t="str">
        <f>J8</f>
        <v>20kg Bales Over</v>
      </c>
      <c r="K23" s="12"/>
      <c r="L23" s="26">
        <v>300</v>
      </c>
      <c r="M23" s="26">
        <v>3500</v>
      </c>
      <c r="N23" s="26">
        <v>3600</v>
      </c>
      <c r="O23" s="26">
        <v>3300</v>
      </c>
      <c r="P23" s="26">
        <v>3400</v>
      </c>
      <c r="Q23" s="28">
        <f t="shared" si="1"/>
        <v>11.666666666666666</v>
      </c>
      <c r="R23" s="28">
        <v>12</v>
      </c>
      <c r="S23" s="18" t="s">
        <v>86</v>
      </c>
      <c r="T23" s="57">
        <f>(T19+T20+T21+T22)/4</f>
        <v>0</v>
      </c>
      <c r="U23" s="40" t="s">
        <v>87</v>
      </c>
      <c r="V23" s="14"/>
      <c r="W23" s="14"/>
      <c r="X23" s="14"/>
      <c r="Y23" s="14"/>
      <c r="Z23" s="14"/>
      <c r="AA23" s="14"/>
      <c r="AB23" s="14"/>
    </row>
    <row r="24" spans="1:28" ht="15" customHeight="1" x14ac:dyDescent="0.2">
      <c r="A24" s="14"/>
      <c r="B24" s="14"/>
      <c r="C24" s="62"/>
      <c r="D24" s="50" t="str">
        <f>D9</f>
        <v>Enter kg DM of pasture/animal/day</v>
      </c>
      <c r="E24" s="8"/>
      <c r="F24" s="8"/>
      <c r="G24" s="8"/>
      <c r="H24" s="8"/>
      <c r="I24" s="8"/>
      <c r="J24" s="37" t="e">
        <f>J18-((E21*E22)+(F21*F22)+(G21*G22)+(H21*H22)+(I21*I22))*B18/$L$3</f>
        <v>#VALUE!</v>
      </c>
      <c r="K24" s="3"/>
      <c r="L24" s="44" t="s">
        <v>88</v>
      </c>
      <c r="M24" s="31"/>
      <c r="N24" s="3"/>
      <c r="O24" s="3"/>
      <c r="P24" s="22" t="s">
        <v>89</v>
      </c>
      <c r="Q24" s="3"/>
      <c r="R24" s="22" t="s">
        <v>90</v>
      </c>
      <c r="S24" s="3"/>
      <c r="T24" s="22" t="s">
        <v>91</v>
      </c>
      <c r="U24" s="40" t="s">
        <v>1</v>
      </c>
      <c r="V24" s="3"/>
      <c r="W24" s="14"/>
      <c r="X24" s="14"/>
      <c r="Y24" s="14"/>
      <c r="Z24" s="14"/>
      <c r="AA24" s="14"/>
      <c r="AB24" s="14"/>
    </row>
    <row r="25" spans="1:28" ht="15" customHeight="1" x14ac:dyDescent="0.2">
      <c r="A25" s="12"/>
      <c r="B25" s="3"/>
      <c r="C25" s="37"/>
      <c r="D25" s="50" t="str">
        <f>D10</f>
        <v>Enter kg DM of grain/animal/day</v>
      </c>
      <c r="E25" s="8"/>
      <c r="F25" s="8"/>
      <c r="G25" s="8"/>
      <c r="H25" s="8"/>
      <c r="I25" s="8"/>
      <c r="J25" s="53" t="str">
        <f>J10</f>
        <v>m3 Silage Over</v>
      </c>
      <c r="K25" s="12"/>
      <c r="L25" s="21" t="s">
        <v>92</v>
      </c>
      <c r="M25" s="3"/>
      <c r="N25" s="3"/>
      <c r="O25" s="3"/>
      <c r="P25" s="22" t="s">
        <v>93</v>
      </c>
      <c r="Q25" s="26"/>
      <c r="R25" s="22" t="s">
        <v>94</v>
      </c>
      <c r="S25" s="22" t="s">
        <v>95</v>
      </c>
      <c r="T25" s="26">
        <v>1.74</v>
      </c>
      <c r="U25" s="22" t="s">
        <v>96</v>
      </c>
      <c r="V25" s="3"/>
      <c r="W25" s="14"/>
      <c r="X25" s="14"/>
      <c r="Y25" s="14"/>
      <c r="Z25" s="14"/>
      <c r="AA25" s="14"/>
      <c r="AB25" s="14"/>
    </row>
    <row r="26" spans="1:28" ht="15" customHeight="1" x14ac:dyDescent="0.2">
      <c r="A26" s="12"/>
      <c r="B26" s="3"/>
      <c r="C26" s="37"/>
      <c r="D26" s="50" t="str">
        <f>D11</f>
        <v>Total kg DM fed/animal/day</v>
      </c>
      <c r="E26" s="39" t="e">
        <f>E22+E23+E24+E25</f>
        <v>#VALUE!</v>
      </c>
      <c r="F26" s="39">
        <f>F22+F23+F24+F25</f>
        <v>0</v>
      </c>
      <c r="G26" s="39">
        <f>G22+G23+G24+G25</f>
        <v>0</v>
      </c>
      <c r="H26" s="39">
        <f>H22+H23+H24+H25</f>
        <v>0</v>
      </c>
      <c r="I26" s="39">
        <f>I22+I23+I24+I25</f>
        <v>0</v>
      </c>
      <c r="J26" s="37">
        <f>J20-((E21*E23)+(F21*F23)+(G21*G23)+(H21*H23)+(I21*I23))*B18/$L$4</f>
        <v>-38.75</v>
      </c>
      <c r="K26" s="12"/>
      <c r="L26" s="3"/>
      <c r="M26" s="22" t="s">
        <v>97</v>
      </c>
      <c r="N26" s="22" t="s">
        <v>98</v>
      </c>
      <c r="O26" s="22" t="s">
        <v>99</v>
      </c>
      <c r="P26" s="22" t="s">
        <v>100</v>
      </c>
      <c r="Q26" s="22" t="s">
        <v>101</v>
      </c>
      <c r="R26" s="22" t="s">
        <v>102</v>
      </c>
      <c r="S26" s="22" t="s">
        <v>103</v>
      </c>
      <c r="T26" s="22" t="s">
        <v>104</v>
      </c>
      <c r="U26" s="22" t="s">
        <v>105</v>
      </c>
      <c r="V26" s="3"/>
      <c r="W26" s="3"/>
      <c r="X26" s="14"/>
      <c r="Y26" s="14"/>
      <c r="Z26" s="14"/>
      <c r="AA26" s="14"/>
      <c r="AB26" s="14"/>
    </row>
    <row r="27" spans="1:28" ht="15" customHeight="1" x14ac:dyDescent="0.2">
      <c r="A27" s="12"/>
      <c r="B27" s="28"/>
      <c r="C27" s="50" t="s">
        <v>51</v>
      </c>
      <c r="D27" s="33" t="e">
        <f>D28/B18</f>
        <v>#VALUE!</v>
      </c>
      <c r="E27" s="63" t="str">
        <f>E12</f>
        <v>kg pasture DM/kg MS</v>
      </c>
      <c r="F27" s="54"/>
      <c r="G27" s="54"/>
      <c r="H27" s="53" t="str">
        <f>H12</f>
        <v>Estim'd kg MS/cow/day</v>
      </c>
      <c r="I27" s="37"/>
      <c r="J27" s="53" t="str">
        <f>J12</f>
        <v>Grain Over</v>
      </c>
      <c r="K27" s="12"/>
      <c r="L27" s="12"/>
      <c r="M27" s="22" t="s">
        <v>106</v>
      </c>
      <c r="N27" s="22" t="s">
        <v>106</v>
      </c>
      <c r="O27" s="22" t="s">
        <v>107</v>
      </c>
      <c r="P27" s="22" t="s">
        <v>102</v>
      </c>
      <c r="Q27" s="22" t="s">
        <v>108</v>
      </c>
      <c r="R27" s="22" t="s">
        <v>109</v>
      </c>
      <c r="S27" s="22" t="s">
        <v>110</v>
      </c>
      <c r="T27" s="22" t="s">
        <v>111</v>
      </c>
      <c r="U27" s="64" t="s">
        <v>112</v>
      </c>
      <c r="V27" s="3"/>
      <c r="W27" s="3"/>
      <c r="X27" s="14"/>
      <c r="Y27" s="14"/>
      <c r="Z27" s="14"/>
      <c r="AA27" s="14"/>
      <c r="AB27" s="14"/>
    </row>
    <row r="28" spans="1:28" ht="15" customHeight="1" x14ac:dyDescent="0.2">
      <c r="A28" s="31"/>
      <c r="B28" s="28"/>
      <c r="C28" s="50" t="s">
        <v>56</v>
      </c>
      <c r="D28" s="37" t="e">
        <f>(E21*B18*E22*$O$44/E28)+(E21*B18*E23*$Q$44/E28)+(E21*B18*E24*$S$44/E28)+(E21*B18*E25*$U$44/E28)</f>
        <v>#VALUE!</v>
      </c>
      <c r="E28" s="37">
        <f>R32</f>
        <v>14</v>
      </c>
      <c r="F28" s="26"/>
      <c r="G28" s="26"/>
      <c r="H28" s="39" t="e">
        <f>(D28/E21/B18)</f>
        <v>#VALUE!</v>
      </c>
      <c r="I28" s="28"/>
      <c r="J28" s="33">
        <f>J22-((E21*E25)+(F21*F25)+(G21*G25)+(H21*H25)+(I21*I25))*B18/1000</f>
        <v>0</v>
      </c>
      <c r="K28" s="12"/>
      <c r="L28" s="3"/>
      <c r="M28" s="22" t="s">
        <v>113</v>
      </c>
      <c r="N28" s="22" t="s">
        <v>113</v>
      </c>
      <c r="O28" s="22" t="s">
        <v>114</v>
      </c>
      <c r="P28" s="22" t="s">
        <v>109</v>
      </c>
      <c r="Q28" s="22" t="s">
        <v>115</v>
      </c>
      <c r="R28" s="22" t="s">
        <v>116</v>
      </c>
      <c r="S28" s="22" t="s">
        <v>117</v>
      </c>
      <c r="T28" s="22" t="s">
        <v>118</v>
      </c>
      <c r="U28" s="64" t="s">
        <v>119</v>
      </c>
      <c r="V28" s="3"/>
      <c r="W28" s="3"/>
      <c r="X28" s="14"/>
      <c r="Y28" s="14"/>
      <c r="Z28" s="14"/>
      <c r="AA28" s="14"/>
      <c r="AB28" s="14"/>
    </row>
    <row r="29" spans="1:28" ht="15" customHeight="1" x14ac:dyDescent="0.2">
      <c r="A29" s="61"/>
      <c r="B29" s="50" t="str">
        <f>B14</f>
        <v>Cover/ha at end of month</v>
      </c>
      <c r="C29" s="43">
        <f>C17+((B18*E18*E19)-((E21*E24)+(F21*F24)+(G21*G24)+(H21*H24)+(I21*I24))*B18)/E18</f>
        <v>-21869</v>
      </c>
      <c r="D29" s="65" t="str">
        <f t="shared" ref="D29:J29" si="2">D14</f>
        <v>kg/ha</v>
      </c>
      <c r="E29" s="66" t="str">
        <f t="shared" si="2"/>
        <v>Pasture ha</v>
      </c>
      <c r="F29" s="66" t="str">
        <f t="shared" si="2"/>
        <v>kg DM hay</v>
      </c>
      <c r="G29" s="66" t="str">
        <f t="shared" si="2"/>
        <v>20 kg Bales</v>
      </c>
      <c r="H29" s="66" t="str">
        <f t="shared" si="2"/>
        <v>kgDM Silage</v>
      </c>
      <c r="I29" s="66" t="str">
        <f t="shared" si="2"/>
        <v>m3 Silage</v>
      </c>
      <c r="J29" s="53" t="str">
        <f t="shared" si="2"/>
        <v>Enter CS below</v>
      </c>
      <c r="K29" s="12"/>
      <c r="L29" s="18" t="s">
        <v>120</v>
      </c>
      <c r="M29" s="28">
        <v>55</v>
      </c>
      <c r="N29" s="58"/>
      <c r="O29" s="67">
        <v>0.5</v>
      </c>
      <c r="P29" s="28">
        <v>15</v>
      </c>
      <c r="Q29" s="22" t="s">
        <v>96</v>
      </c>
      <c r="R29" s="68">
        <v>12</v>
      </c>
      <c r="S29" s="45" t="s">
        <v>121</v>
      </c>
      <c r="T29" s="69">
        <f>0.8*$T$25</f>
        <v>1.3920000000000001</v>
      </c>
      <c r="U29" s="28">
        <v>2000</v>
      </c>
      <c r="V29" s="70" t="str">
        <f t="shared" ref="V29:V40" si="3">L29</f>
        <v>Jan</v>
      </c>
      <c r="W29" s="3"/>
      <c r="X29" s="14"/>
      <c r="Y29" s="14"/>
      <c r="Z29" s="14"/>
      <c r="AA29" s="14"/>
      <c r="AB29" s="14"/>
    </row>
    <row r="30" spans="1:28" ht="14" customHeight="1" x14ac:dyDescent="0.2">
      <c r="A30" s="12"/>
      <c r="B30" s="3"/>
      <c r="C30" s="60"/>
      <c r="D30" s="50" t="str">
        <f>D15</f>
        <v>Excess or shortfall. Use any one</v>
      </c>
      <c r="E30" s="33">
        <f>((E18*E19*B18)-(((E21*E24)+(F21*F24)+(G21*G24)+(H21*H24)+(I21*I24))*B18))/B18/E19</f>
        <v>1</v>
      </c>
      <c r="F30" s="37">
        <f>((E18*E19*B18)-(((E21*E24)+(F21*F24)+(G21*G24)+(H21*H24)+(I21*I24))*B18))/B18</f>
        <v>30</v>
      </c>
      <c r="G30" s="37">
        <f>((E18*E19*B18)-(((E21*E24)+(F21*F24)+(G21*G24)+(H21*H24)+(I21*I24))*B18))/B18/$L$3</f>
        <v>1.875</v>
      </c>
      <c r="H30" s="37">
        <f>((E18*E19*B18)-(((E21*E24)+(F21*F24)+(G21*G24)+(H21*H24)+(I21*I24))*B18))/B18</f>
        <v>30</v>
      </c>
      <c r="I30" s="37">
        <f>((E18*E19*B18)-(((E21*E24)+(F21*F24)+(G21*G24)+(H21*H24)+(I21*I24))*B18))/B18/$L$4</f>
        <v>0.1875</v>
      </c>
      <c r="J30" s="27"/>
      <c r="K30" s="12"/>
      <c r="L30" s="18" t="s">
        <v>122</v>
      </c>
      <c r="M30" s="28">
        <v>30</v>
      </c>
      <c r="N30" s="58"/>
      <c r="O30" s="67">
        <v>0.5</v>
      </c>
      <c r="P30" s="28">
        <v>14</v>
      </c>
      <c r="Q30" s="26">
        <v>350</v>
      </c>
      <c r="R30" s="68">
        <v>13</v>
      </c>
      <c r="S30" s="45" t="s">
        <v>123</v>
      </c>
      <c r="T30" s="69">
        <f>0.65*$T$25</f>
        <v>1.131</v>
      </c>
      <c r="U30" s="28">
        <v>2000</v>
      </c>
      <c r="V30" s="70" t="str">
        <f t="shared" si="3"/>
        <v>Feb</v>
      </c>
      <c r="W30" s="14"/>
      <c r="X30" s="14"/>
      <c r="Y30" s="14"/>
      <c r="Z30" s="14"/>
      <c r="AA30" s="14"/>
      <c r="AB30" s="14"/>
    </row>
    <row r="31" spans="1:28" ht="1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2"/>
      <c r="L31" s="18" t="s">
        <v>9</v>
      </c>
      <c r="M31" s="28">
        <v>40</v>
      </c>
      <c r="N31" s="58"/>
      <c r="O31" s="45" t="s">
        <v>124</v>
      </c>
      <c r="P31" s="28">
        <v>13</v>
      </c>
      <c r="Q31" s="22" t="s">
        <v>125</v>
      </c>
      <c r="R31" s="68">
        <v>13</v>
      </c>
      <c r="S31" s="45" t="s">
        <v>126</v>
      </c>
      <c r="T31" s="69">
        <f t="shared" ref="T31:T32" si="4">0.6*$T$25</f>
        <v>1.044</v>
      </c>
      <c r="U31" s="28">
        <v>2000</v>
      </c>
      <c r="V31" s="70" t="str">
        <f t="shared" si="3"/>
        <v>Mar</v>
      </c>
      <c r="W31" s="14"/>
      <c r="X31" s="14"/>
      <c r="Y31" s="14"/>
      <c r="Z31" s="14"/>
      <c r="AA31" s="14"/>
      <c r="AB31" s="14"/>
    </row>
    <row r="32" spans="1:28" ht="15" customHeight="1" x14ac:dyDescent="0.2">
      <c r="A32" s="50" t="str">
        <f>A17</f>
        <v>Enter cover/ha at 1</v>
      </c>
      <c r="B32" s="19" t="s">
        <v>127</v>
      </c>
      <c r="C32" s="51">
        <f>C29</f>
        <v>-21869</v>
      </c>
      <c r="D32" s="52" t="str">
        <f t="shared" ref="D32:J32" si="5">D17</f>
        <v>hectares</v>
      </c>
      <c r="E32" s="52" t="str">
        <f t="shared" si="5"/>
        <v>ha or acres</v>
      </c>
      <c r="F32" s="52" t="str">
        <f t="shared" si="5"/>
        <v>Crop ha/a</v>
      </c>
      <c r="G32" s="52" t="str">
        <f t="shared" si="5"/>
        <v>NewGrass ha/a</v>
      </c>
      <c r="H32" s="52" t="str">
        <f t="shared" si="5"/>
        <v>Other ha/a</v>
      </c>
      <c r="I32" s="52" t="str">
        <f t="shared" si="5"/>
        <v>Other ha/a</v>
      </c>
      <c r="J32" s="53" t="str">
        <f t="shared" si="5"/>
        <v># 20 kg Bales</v>
      </c>
      <c r="K32" s="12"/>
      <c r="L32" s="18" t="s">
        <v>128</v>
      </c>
      <c r="M32" s="28">
        <v>50</v>
      </c>
      <c r="N32" s="58"/>
      <c r="O32" s="45" t="s">
        <v>129</v>
      </c>
      <c r="P32" s="28">
        <v>12</v>
      </c>
      <c r="Q32" s="26">
        <f>Q30*2.2</f>
        <v>770.00000000000011</v>
      </c>
      <c r="R32" s="68">
        <v>14</v>
      </c>
      <c r="S32" s="26">
        <v>6</v>
      </c>
      <c r="T32" s="69">
        <f t="shared" si="4"/>
        <v>1.044</v>
      </c>
      <c r="U32" s="28">
        <v>2000</v>
      </c>
      <c r="V32" s="70" t="str">
        <f t="shared" si="3"/>
        <v>Apr</v>
      </c>
      <c r="W32" s="14"/>
      <c r="X32" s="14"/>
      <c r="Y32" s="14"/>
      <c r="Z32" s="14"/>
      <c r="AA32" s="14"/>
      <c r="AB32" s="14"/>
    </row>
    <row r="33" spans="1:28" ht="15" customHeight="1" x14ac:dyDescent="0.2">
      <c r="A33" s="50" t="str">
        <f>A18</f>
        <v># of days in month</v>
      </c>
      <c r="B33" s="27">
        <v>31</v>
      </c>
      <c r="C33" s="28"/>
      <c r="D33" s="54">
        <f t="shared" ref="D33:D41" si="6">D18</f>
        <v>1</v>
      </c>
      <c r="E33" s="54">
        <f>D33-F33-G33-H33-I33</f>
        <v>1</v>
      </c>
      <c r="F33" s="8"/>
      <c r="G33" s="8"/>
      <c r="H33" s="8"/>
      <c r="I33" s="8"/>
      <c r="J33" s="37" t="e">
        <f>J24</f>
        <v>#VALUE!</v>
      </c>
      <c r="K33" s="12"/>
      <c r="L33" s="18" t="s">
        <v>127</v>
      </c>
      <c r="M33" s="28">
        <v>40</v>
      </c>
      <c r="N33" s="58"/>
      <c r="O33" s="67">
        <v>0.5</v>
      </c>
      <c r="P33" s="37">
        <f>$Q$30*0.03</f>
        <v>10.5</v>
      </c>
      <c r="Q33" s="3"/>
      <c r="R33" s="68">
        <v>15</v>
      </c>
      <c r="S33" s="26">
        <v>6</v>
      </c>
      <c r="T33" s="71"/>
      <c r="U33" s="28">
        <v>2100</v>
      </c>
      <c r="V33" s="70" t="str">
        <f t="shared" si="3"/>
        <v>May</v>
      </c>
      <c r="W33" s="14"/>
      <c r="X33" s="14"/>
      <c r="Y33" s="14"/>
      <c r="Z33" s="14"/>
      <c r="AA33" s="14"/>
      <c r="AB33" s="14"/>
    </row>
    <row r="34" spans="1:28" ht="15" customHeight="1" x14ac:dyDescent="0.2">
      <c r="A34" s="12"/>
      <c r="B34" s="56"/>
      <c r="C34" s="37"/>
      <c r="D34" s="50" t="str">
        <f t="shared" si="6"/>
        <v>Enter your pasture dry matter daily growth figure.</v>
      </c>
      <c r="E34" s="8">
        <v>1</v>
      </c>
      <c r="F34" s="57"/>
      <c r="G34" s="57"/>
      <c r="H34" s="54"/>
      <c r="I34" s="50" t="str">
        <f>I19</f>
        <v>Count and enter correct hay, silage &amp; grain figures</v>
      </c>
      <c r="J34" s="53" t="str">
        <f>J19</f>
        <v>m3 Silage</v>
      </c>
      <c r="K34" s="12"/>
      <c r="L34" s="18" t="s">
        <v>130</v>
      </c>
      <c r="M34" s="28">
        <v>18</v>
      </c>
      <c r="N34" s="58"/>
      <c r="O34" s="67">
        <v>0.5</v>
      </c>
      <c r="P34" s="28">
        <v>7</v>
      </c>
      <c r="Q34" s="22" t="s">
        <v>131</v>
      </c>
      <c r="R34" s="68">
        <v>16</v>
      </c>
      <c r="S34" s="26">
        <v>7</v>
      </c>
      <c r="T34" s="71"/>
      <c r="U34" s="28">
        <v>2300</v>
      </c>
      <c r="V34" s="70" t="str">
        <f t="shared" si="3"/>
        <v>Jun</v>
      </c>
      <c r="W34" s="14"/>
      <c r="X34" s="14"/>
      <c r="Y34" s="14"/>
      <c r="Z34" s="14"/>
      <c r="AA34" s="14"/>
      <c r="AB34" s="14"/>
    </row>
    <row r="35" spans="1:28" ht="15" customHeight="1" x14ac:dyDescent="0.2">
      <c r="A35" s="50" t="str">
        <f>A20</f>
        <v>Cows/ha or acre</v>
      </c>
      <c r="B35" s="39">
        <f>(E36+F36+G36)/D33</f>
        <v>0</v>
      </c>
      <c r="C35" s="60"/>
      <c r="D35" s="50" t="str">
        <f t="shared" si="6"/>
        <v>Livestock Types</v>
      </c>
      <c r="E35" s="52" t="str">
        <f>E20</f>
        <v>Cows</v>
      </c>
      <c r="F35" s="52" t="str">
        <f>F20</f>
        <v>Fat Dries</v>
      </c>
      <c r="G35" s="52" t="str">
        <f>G20</f>
        <v>Thin Dries</v>
      </c>
      <c r="H35" s="52" t="str">
        <f>H20</f>
        <v>Yearlings</v>
      </c>
      <c r="I35" s="52" t="str">
        <f>I20</f>
        <v>Calves</v>
      </c>
      <c r="J35" s="37">
        <f>J26</f>
        <v>-38.75</v>
      </c>
      <c r="K35" s="12"/>
      <c r="L35" s="18" t="s">
        <v>132</v>
      </c>
      <c r="M35" s="28">
        <v>22</v>
      </c>
      <c r="N35" s="58"/>
      <c r="O35" s="67">
        <v>0.5</v>
      </c>
      <c r="P35" s="28">
        <v>8</v>
      </c>
      <c r="Q35" s="26">
        <v>500</v>
      </c>
      <c r="R35" s="68">
        <v>15</v>
      </c>
      <c r="S35" s="26">
        <v>8</v>
      </c>
      <c r="T35" s="71"/>
      <c r="U35" s="28">
        <v>2400</v>
      </c>
      <c r="V35" s="70" t="str">
        <f t="shared" si="3"/>
        <v>Jul</v>
      </c>
      <c r="W35" s="14"/>
      <c r="X35" s="14"/>
      <c r="Y35" s="14"/>
      <c r="Z35" s="14"/>
      <c r="AA35" s="14"/>
      <c r="AB35" s="14"/>
    </row>
    <row r="36" spans="1:28" ht="15" customHeight="1" x14ac:dyDescent="0.2">
      <c r="A36" s="12"/>
      <c r="B36" s="56"/>
      <c r="C36" s="61"/>
      <c r="D36" s="50" t="str">
        <f t="shared" si="6"/>
        <v>Correct the average stock numbers for the month</v>
      </c>
      <c r="E36" s="8"/>
      <c r="F36" s="8"/>
      <c r="G36" s="8"/>
      <c r="H36" s="8">
        <v>1</v>
      </c>
      <c r="I36" s="8"/>
      <c r="J36" s="53" t="str">
        <f>J21</f>
        <v>Tonnes Grain</v>
      </c>
      <c r="K36" s="12"/>
      <c r="L36" s="18" t="s">
        <v>133</v>
      </c>
      <c r="M36" s="28">
        <v>30</v>
      </c>
      <c r="N36" s="58"/>
      <c r="O36" s="67">
        <v>0.5</v>
      </c>
      <c r="P36" s="28">
        <v>17</v>
      </c>
      <c r="Q36" s="22" t="s">
        <v>134</v>
      </c>
      <c r="R36" s="68">
        <v>11</v>
      </c>
      <c r="S36" s="26">
        <v>8</v>
      </c>
      <c r="T36" s="69">
        <f t="shared" ref="T36:T40" si="7">0.9*$T$25</f>
        <v>1.5660000000000001</v>
      </c>
      <c r="U36" s="28">
        <v>2300</v>
      </c>
      <c r="V36" s="70" t="str">
        <f t="shared" si="3"/>
        <v>Aug</v>
      </c>
      <c r="W36" s="14"/>
      <c r="X36" s="14"/>
      <c r="Y36" s="14"/>
      <c r="Z36" s="14"/>
      <c r="AA36" s="14"/>
      <c r="AB36" s="14"/>
    </row>
    <row r="37" spans="1:28" ht="15" customHeight="1" x14ac:dyDescent="0.2">
      <c r="A37" s="12"/>
      <c r="B37" s="3"/>
      <c r="C37" s="37"/>
      <c r="D37" s="50" t="str">
        <f t="shared" si="6"/>
        <v>Enter kg DM of hay/animal/day</v>
      </c>
      <c r="E37" s="8"/>
      <c r="F37" s="8"/>
      <c r="G37" s="8"/>
      <c r="H37" s="8"/>
      <c r="I37" s="8"/>
      <c r="J37" s="33">
        <f>J28</f>
        <v>0</v>
      </c>
      <c r="K37" s="12"/>
      <c r="L37" s="18" t="s">
        <v>135</v>
      </c>
      <c r="M37" s="28">
        <v>45</v>
      </c>
      <c r="N37" s="58"/>
      <c r="O37" s="67">
        <v>0.4</v>
      </c>
      <c r="P37" s="37">
        <f t="shared" ref="P37:P40" si="8">$Q$30*0.048</f>
        <v>16.8</v>
      </c>
      <c r="Q37" s="26">
        <v>350</v>
      </c>
      <c r="R37" s="68">
        <v>11</v>
      </c>
      <c r="S37" s="45" t="s">
        <v>136</v>
      </c>
      <c r="T37" s="69">
        <f>1*$T$25</f>
        <v>1.74</v>
      </c>
      <c r="U37" s="28">
        <v>2000</v>
      </c>
      <c r="V37" s="70" t="str">
        <f t="shared" si="3"/>
        <v>Sep</v>
      </c>
      <c r="W37" s="14"/>
      <c r="X37" s="14"/>
      <c r="Y37" s="14"/>
      <c r="Z37" s="14"/>
      <c r="AA37" s="14"/>
      <c r="AB37" s="14"/>
    </row>
    <row r="38" spans="1:28" ht="15" customHeight="1" x14ac:dyDescent="0.2">
      <c r="A38" s="12"/>
      <c r="B38" s="3"/>
      <c r="C38" s="37"/>
      <c r="D38" s="50" t="str">
        <f t="shared" si="6"/>
        <v>Enter kg DM of silage/animal/day</v>
      </c>
      <c r="E38" s="8"/>
      <c r="F38" s="8"/>
      <c r="G38" s="8"/>
      <c r="H38" s="8"/>
      <c r="I38" s="8"/>
      <c r="J38" s="53" t="str">
        <f>J23</f>
        <v>20kg Bales Over</v>
      </c>
      <c r="K38" s="3"/>
      <c r="L38" s="18" t="s">
        <v>137</v>
      </c>
      <c r="M38" s="28">
        <v>60</v>
      </c>
      <c r="N38" s="58"/>
      <c r="O38" s="67">
        <v>0.4</v>
      </c>
      <c r="P38" s="37">
        <f t="shared" si="8"/>
        <v>16.8</v>
      </c>
      <c r="Q38" s="22" t="s">
        <v>138</v>
      </c>
      <c r="R38" s="68">
        <v>11</v>
      </c>
      <c r="S38" s="45" t="s">
        <v>139</v>
      </c>
      <c r="T38" s="69">
        <f>1.1*$T$25</f>
        <v>1.9140000000000001</v>
      </c>
      <c r="U38" s="28">
        <v>2200</v>
      </c>
      <c r="V38" s="70" t="str">
        <f t="shared" si="3"/>
        <v>Oct</v>
      </c>
      <c r="W38" s="14"/>
      <c r="X38" s="14"/>
      <c r="Y38" s="14"/>
      <c r="Z38" s="14"/>
      <c r="AA38" s="14"/>
      <c r="AB38" s="14"/>
    </row>
    <row r="39" spans="1:28" ht="15" customHeight="1" x14ac:dyDescent="0.2">
      <c r="A39" s="14"/>
      <c r="B39" s="14"/>
      <c r="C39" s="62"/>
      <c r="D39" s="50" t="str">
        <f t="shared" si="6"/>
        <v>Enter kg DM of pasture/animal/day</v>
      </c>
      <c r="E39" s="8"/>
      <c r="F39" s="8"/>
      <c r="G39" s="8"/>
      <c r="H39" s="8"/>
      <c r="I39" s="8"/>
      <c r="J39" s="37" t="e">
        <f>J33-((E36*E37)+(F36*F37)+(G36*G37)+(H36*H37)+(I36*I37))*B33/$L$3</f>
        <v>#VALUE!</v>
      </c>
      <c r="K39" s="12"/>
      <c r="L39" s="18" t="s">
        <v>140</v>
      </c>
      <c r="M39" s="28">
        <v>70</v>
      </c>
      <c r="N39" s="58"/>
      <c r="O39" s="67">
        <v>0.4</v>
      </c>
      <c r="P39" s="37">
        <f t="shared" si="8"/>
        <v>16.8</v>
      </c>
      <c r="Q39" s="26">
        <v>470</v>
      </c>
      <c r="R39" s="68">
        <v>11</v>
      </c>
      <c r="S39" s="45" t="s">
        <v>141</v>
      </c>
      <c r="T39" s="69">
        <f>0.95*$T$25</f>
        <v>1.653</v>
      </c>
      <c r="U39" s="28">
        <v>2500</v>
      </c>
      <c r="V39" s="70" t="str">
        <f t="shared" si="3"/>
        <v>Nov</v>
      </c>
      <c r="W39" s="14"/>
      <c r="X39" s="14"/>
      <c r="Y39" s="14"/>
      <c r="Z39" s="14"/>
      <c r="AA39" s="14"/>
      <c r="AB39" s="14"/>
    </row>
    <row r="40" spans="1:28" ht="15" customHeight="1" x14ac:dyDescent="0.2">
      <c r="A40" s="12"/>
      <c r="B40" s="3"/>
      <c r="C40" s="37"/>
      <c r="D40" s="50" t="str">
        <f t="shared" si="6"/>
        <v>Enter kg DM of grain/animal/day</v>
      </c>
      <c r="E40" s="8"/>
      <c r="F40" s="8"/>
      <c r="G40" s="8"/>
      <c r="H40" s="8"/>
      <c r="I40" s="8"/>
      <c r="J40" s="53" t="str">
        <f>J25</f>
        <v>m3 Silage Over</v>
      </c>
      <c r="K40" s="12"/>
      <c r="L40" s="18" t="s">
        <v>142</v>
      </c>
      <c r="M40" s="28">
        <v>65</v>
      </c>
      <c r="N40" s="58"/>
      <c r="O40" s="67">
        <v>0.4</v>
      </c>
      <c r="P40" s="37">
        <f t="shared" si="8"/>
        <v>16.8</v>
      </c>
      <c r="Q40" s="3"/>
      <c r="R40" s="68">
        <v>12</v>
      </c>
      <c r="S40" s="45" t="s">
        <v>136</v>
      </c>
      <c r="T40" s="69">
        <f t="shared" si="7"/>
        <v>1.5660000000000001</v>
      </c>
      <c r="U40" s="28">
        <v>2400</v>
      </c>
      <c r="V40" s="70" t="str">
        <f t="shared" si="3"/>
        <v>Dec</v>
      </c>
      <c r="W40" s="14"/>
      <c r="X40" s="14"/>
      <c r="Y40" s="14"/>
      <c r="Z40" s="14"/>
      <c r="AA40" s="14"/>
      <c r="AB40" s="14"/>
    </row>
    <row r="41" spans="1:28" ht="15" customHeight="1" x14ac:dyDescent="0.2">
      <c r="A41" s="12"/>
      <c r="B41" s="3"/>
      <c r="C41" s="37"/>
      <c r="D41" s="50" t="str">
        <f t="shared" si="6"/>
        <v>Total kg DM fed/animal/day</v>
      </c>
      <c r="E41" s="39">
        <f>E37+E38+E39+E40</f>
        <v>0</v>
      </c>
      <c r="F41" s="39">
        <f>F37+F38+F39+F40</f>
        <v>0</v>
      </c>
      <c r="G41" s="39">
        <f>G37+G38+G39+G40</f>
        <v>0</v>
      </c>
      <c r="H41" s="39">
        <f>H37+H38+H39+H40</f>
        <v>0</v>
      </c>
      <c r="I41" s="39">
        <f>I37+I38+I39+I40</f>
        <v>0</v>
      </c>
      <c r="J41" s="37">
        <f>J35-((E36*E38)+(F36*F38)+(G36*G38)+(H36*H38)+(I36*I38))*B33/$L$4</f>
        <v>-38.75</v>
      </c>
      <c r="K41" s="12"/>
      <c r="L41" s="18" t="s">
        <v>143</v>
      </c>
      <c r="M41" s="51">
        <f>SUM(M29:M40)*365/12</f>
        <v>15968.75</v>
      </c>
      <c r="N41" s="51">
        <f>SUM(N29:N40)*365/12</f>
        <v>0</v>
      </c>
      <c r="O41" s="3"/>
      <c r="P41" s="26"/>
      <c r="Q41" s="7" t="s">
        <v>144</v>
      </c>
      <c r="R41" s="72">
        <f>AVERAGE(R29:R40)</f>
        <v>12.833333333333334</v>
      </c>
      <c r="S41" s="45" t="s">
        <v>145</v>
      </c>
      <c r="T41" s="51">
        <f>SUM(T29+T30+T31+T32+T36+T37+T38+T39+T40)/9*300</f>
        <v>435.00000000000006</v>
      </c>
      <c r="U41" s="3"/>
      <c r="V41" s="3"/>
      <c r="W41" s="14"/>
      <c r="X41" s="14"/>
      <c r="Y41" s="14"/>
      <c r="Z41" s="14"/>
      <c r="AA41" s="14"/>
      <c r="AB41" s="14"/>
    </row>
    <row r="42" spans="1:28" ht="15" customHeight="1" x14ac:dyDescent="0.2">
      <c r="A42" s="12"/>
      <c r="B42" s="28"/>
      <c r="C42" s="50" t="s">
        <v>51</v>
      </c>
      <c r="D42" s="33">
        <f>D43/B33</f>
        <v>0</v>
      </c>
      <c r="E42" s="63" t="str">
        <f>E27</f>
        <v>kg pasture DM/kg MS</v>
      </c>
      <c r="F42" s="54"/>
      <c r="G42" s="54"/>
      <c r="H42" s="53" t="str">
        <f>H27</f>
        <v>Estim'd kg MS/cow/day</v>
      </c>
      <c r="I42" s="37"/>
      <c r="J42" s="53" t="str">
        <f>J27</f>
        <v>Grain Over</v>
      </c>
      <c r="K42" s="12"/>
      <c r="L42" s="59" t="s">
        <v>146</v>
      </c>
      <c r="M42" s="3"/>
      <c r="N42" s="3"/>
      <c r="O42" s="3"/>
      <c r="P42" s="26"/>
      <c r="Q42" s="3"/>
      <c r="R42" s="3"/>
      <c r="S42" s="3"/>
      <c r="T42" s="3"/>
      <c r="U42" s="3"/>
      <c r="V42" s="3"/>
      <c r="W42" s="14"/>
      <c r="X42" s="14"/>
      <c r="Y42" s="14"/>
      <c r="Z42" s="14"/>
      <c r="AA42" s="14"/>
      <c r="AB42" s="14"/>
    </row>
    <row r="43" spans="1:28" ht="15" customHeight="1" x14ac:dyDescent="0.2">
      <c r="A43" s="31"/>
      <c r="B43" s="28"/>
      <c r="C43" s="50" t="s">
        <v>56</v>
      </c>
      <c r="D43" s="37">
        <f>(E36*B33*E37*$O$44/E43)+(E36*B33*E38*$Q$44/E43)+(E36*B33*E39*$S$44/E43)+(E36*B33*E40*$U$44/E43)</f>
        <v>0</v>
      </c>
      <c r="E43" s="54">
        <f>R33</f>
        <v>15</v>
      </c>
      <c r="F43" s="26"/>
      <c r="G43" s="26"/>
      <c r="H43" s="73">
        <v>0</v>
      </c>
      <c r="I43" s="28"/>
      <c r="J43" s="33">
        <f>J37-((E36*E40)+(F36*F40)+(G36*G40)+(H36*H40)+(I36*I40))*B33/1000</f>
        <v>0</v>
      </c>
      <c r="K43" s="12"/>
      <c r="L43" s="59" t="s">
        <v>147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14" customHeight="1" x14ac:dyDescent="0.2">
      <c r="A44" s="61"/>
      <c r="B44" s="50" t="str">
        <f>B29</f>
        <v>Cover/ha at end of month</v>
      </c>
      <c r="C44" s="43">
        <f>C32+((B33*E33*E34)-((E36*E39)+(F36*F39)+(G36*G39)+(H36*H39)+(I36*I39))*B33)/E33</f>
        <v>-21838</v>
      </c>
      <c r="D44" s="65" t="str">
        <f t="shared" ref="D44:J44" si="9">D29</f>
        <v>kg/ha</v>
      </c>
      <c r="E44" s="66" t="str">
        <f t="shared" si="9"/>
        <v>Pasture ha</v>
      </c>
      <c r="F44" s="66" t="str">
        <f t="shared" si="9"/>
        <v>kg DM hay</v>
      </c>
      <c r="G44" s="66" t="str">
        <f t="shared" si="9"/>
        <v>20 kg Bales</v>
      </c>
      <c r="H44" s="66" t="str">
        <f t="shared" si="9"/>
        <v>kgDM Silage</v>
      </c>
      <c r="I44" s="66" t="str">
        <f t="shared" si="9"/>
        <v>m3 Silage</v>
      </c>
      <c r="J44" s="53" t="str">
        <f t="shared" si="9"/>
        <v>Enter CS below</v>
      </c>
      <c r="K44" s="12"/>
      <c r="L44" s="3"/>
      <c r="M44" s="18" t="s">
        <v>148</v>
      </c>
      <c r="N44" s="18" t="s">
        <v>149</v>
      </c>
      <c r="O44" s="41">
        <v>0.7</v>
      </c>
      <c r="P44" s="18" t="s">
        <v>150</v>
      </c>
      <c r="Q44" s="74">
        <v>0.8</v>
      </c>
      <c r="R44" s="18" t="s">
        <v>3</v>
      </c>
      <c r="S44" s="41">
        <v>1</v>
      </c>
      <c r="T44" s="18" t="s">
        <v>151</v>
      </c>
      <c r="U44" s="74">
        <v>1.3</v>
      </c>
      <c r="V44" s="3"/>
      <c r="W44" s="26"/>
      <c r="X44" s="14"/>
      <c r="Y44" s="14"/>
      <c r="Z44" s="14"/>
      <c r="AA44" s="14"/>
      <c r="AB44" s="14"/>
    </row>
    <row r="45" spans="1:28" ht="15" customHeight="1" x14ac:dyDescent="0.2">
      <c r="A45" s="12"/>
      <c r="B45" s="3"/>
      <c r="C45" s="60"/>
      <c r="D45" s="50" t="str">
        <f>D30</f>
        <v>Excess or shortfall. Use any one</v>
      </c>
      <c r="E45" s="33">
        <f>((E33*E34*B33)-(((E36*E39)+(F36*F39)+(G36*G39)+(H36*H39)+(I36*I39))*B33))/B33/E34</f>
        <v>1</v>
      </c>
      <c r="F45" s="37">
        <f>((E33*E34*B33)-(((E36*E39)+(F36*F39)+(G36*G39)+(H36*H39)+(I36*I39))*B33))/B33</f>
        <v>1</v>
      </c>
      <c r="G45" s="37">
        <f>((E33*E34*B33)-(((E36*E39)+(F36*F39)+(G36*G39)+(H36*H39)+(I36*I39))*B33))/B33/$L$3</f>
        <v>6.25E-2</v>
      </c>
      <c r="H45" s="37">
        <f>((E33*E34*B33)-(((E36*E39)+(F36*F39)+(G36*G39)+(H36*H39)+(I36*I39))*B33))/B33</f>
        <v>1</v>
      </c>
      <c r="I45" s="37">
        <f>((E33*E34*B33)-(((E36*E39)+(F36*F39)+(G36*G39)+(H36*H39)+(I36*I39))*B33))/B33/$L$4</f>
        <v>6.2500000000000003E-3</v>
      </c>
      <c r="J45" s="27"/>
      <c r="K45" s="12"/>
      <c r="L45" s="75" t="s">
        <v>152</v>
      </c>
      <c r="M45" s="3"/>
      <c r="N45" s="34"/>
      <c r="O45" s="22" t="s">
        <v>153</v>
      </c>
      <c r="P45" s="26"/>
      <c r="Q45" s="3"/>
      <c r="R45" s="45" t="s">
        <v>154</v>
      </c>
      <c r="S45" s="22" t="s">
        <v>155</v>
      </c>
      <c r="T45" s="3"/>
      <c r="U45" s="3"/>
      <c r="V45" s="3"/>
      <c r="W45" s="26"/>
      <c r="X45" s="14"/>
      <c r="Y45" s="14"/>
      <c r="Z45" s="14"/>
      <c r="AA45" s="14"/>
      <c r="AB45" s="14"/>
    </row>
    <row r="46" spans="1:28" ht="15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2"/>
      <c r="L46" s="3"/>
      <c r="M46" s="22" t="s">
        <v>156</v>
      </c>
      <c r="N46" s="22" t="s">
        <v>157</v>
      </c>
      <c r="O46" s="22" t="s">
        <v>158</v>
      </c>
      <c r="P46" s="26"/>
      <c r="Q46" s="22" t="s">
        <v>159</v>
      </c>
      <c r="R46" s="22" t="s">
        <v>160</v>
      </c>
      <c r="S46" s="22" t="s">
        <v>161</v>
      </c>
      <c r="T46" s="3"/>
      <c r="U46" s="34"/>
      <c r="V46" s="3"/>
      <c r="W46" s="26"/>
      <c r="X46" s="14"/>
      <c r="Y46" s="14"/>
      <c r="Z46" s="14"/>
      <c r="AA46" s="14"/>
      <c r="AB46" s="14"/>
    </row>
    <row r="47" spans="1:28" ht="15" customHeight="1" x14ac:dyDescent="0.2">
      <c r="A47" s="50" t="str">
        <f>A32</f>
        <v>Enter cover/ha at 1</v>
      </c>
      <c r="B47" s="19" t="s">
        <v>130</v>
      </c>
      <c r="C47" s="51">
        <f>C44</f>
        <v>-21838</v>
      </c>
      <c r="D47" s="52" t="str">
        <f t="shared" ref="D47:J47" si="10">D32</f>
        <v>hectares</v>
      </c>
      <c r="E47" s="52" t="str">
        <f t="shared" si="10"/>
        <v>ha or acres</v>
      </c>
      <c r="F47" s="52" t="str">
        <f t="shared" si="10"/>
        <v>Crop ha/a</v>
      </c>
      <c r="G47" s="52" t="str">
        <f t="shared" si="10"/>
        <v>NewGrass ha/a</v>
      </c>
      <c r="H47" s="52" t="str">
        <f t="shared" si="10"/>
        <v>Other ha/a</v>
      </c>
      <c r="I47" s="52" t="str">
        <f t="shared" si="10"/>
        <v>Other ha/a</v>
      </c>
      <c r="J47" s="53" t="str">
        <f t="shared" si="10"/>
        <v># 20 kg Bales</v>
      </c>
      <c r="K47" s="12"/>
      <c r="L47" s="55" t="s">
        <v>162</v>
      </c>
      <c r="M47" s="26">
        <v>120</v>
      </c>
      <c r="N47" s="45" t="s">
        <v>163</v>
      </c>
      <c r="O47" s="26">
        <v>2</v>
      </c>
      <c r="P47" s="26"/>
      <c r="Q47" s="26">
        <v>10</v>
      </c>
      <c r="R47" s="26">
        <v>80</v>
      </c>
      <c r="S47" s="26">
        <v>14</v>
      </c>
      <c r="T47" s="14"/>
      <c r="U47" s="14"/>
      <c r="V47" s="14"/>
      <c r="W47" s="14"/>
      <c r="X47" s="14"/>
      <c r="Y47" s="14"/>
      <c r="Z47" s="14"/>
      <c r="AA47" s="14"/>
      <c r="AB47" s="14"/>
    </row>
    <row r="48" spans="1:28" ht="15" customHeight="1" x14ac:dyDescent="0.2">
      <c r="A48" s="50" t="str">
        <f>A33</f>
        <v># of days in month</v>
      </c>
      <c r="B48" s="27">
        <v>30</v>
      </c>
      <c r="C48" s="28"/>
      <c r="D48" s="54">
        <f t="shared" ref="D48:D56" si="11">D33</f>
        <v>1</v>
      </c>
      <c r="E48" s="54">
        <f>D48-F48-G48-H48-I48</f>
        <v>1</v>
      </c>
      <c r="F48" s="8"/>
      <c r="G48" s="8"/>
      <c r="H48" s="8"/>
      <c r="I48" s="8"/>
      <c r="J48" s="37" t="e">
        <f>J39</f>
        <v>#VALUE!</v>
      </c>
      <c r="K48" s="12"/>
      <c r="L48" s="55" t="s">
        <v>164</v>
      </c>
      <c r="M48" s="26">
        <v>110</v>
      </c>
      <c r="N48" s="45" t="s">
        <v>165</v>
      </c>
      <c r="O48" s="26">
        <v>3</v>
      </c>
      <c r="P48" s="26"/>
      <c r="Q48" s="26">
        <v>10</v>
      </c>
      <c r="R48" s="26">
        <v>80</v>
      </c>
      <c r="S48" s="26">
        <v>13</v>
      </c>
      <c r="T48" s="3"/>
      <c r="U48" s="3"/>
      <c r="V48" s="3"/>
      <c r="W48" s="26"/>
      <c r="X48" s="14"/>
      <c r="Y48" s="14"/>
      <c r="Z48" s="14"/>
      <c r="AA48" s="14"/>
      <c r="AB48" s="14"/>
    </row>
    <row r="49" spans="1:28" ht="15" customHeight="1" x14ac:dyDescent="0.2">
      <c r="A49" s="12"/>
      <c r="B49" s="56"/>
      <c r="C49" s="37"/>
      <c r="D49" s="50" t="str">
        <f t="shared" si="11"/>
        <v>Enter your pasture dry matter daily growth figure.</v>
      </c>
      <c r="E49" s="8"/>
      <c r="F49" s="57"/>
      <c r="G49" s="57"/>
      <c r="H49" s="54"/>
      <c r="I49" s="50" t="str">
        <f>I34</f>
        <v>Count and enter correct hay, silage &amp; grain figures</v>
      </c>
      <c r="J49" s="53" t="str">
        <f>J34</f>
        <v>m3 Silage</v>
      </c>
      <c r="K49" s="12"/>
      <c r="L49" s="55" t="s">
        <v>166</v>
      </c>
      <c r="M49" s="26">
        <v>60</v>
      </c>
      <c r="N49" s="45" t="s">
        <v>167</v>
      </c>
      <c r="O49" s="26">
        <v>3</v>
      </c>
      <c r="P49" s="26"/>
      <c r="Q49" s="26">
        <v>13</v>
      </c>
      <c r="R49" s="26">
        <v>90</v>
      </c>
      <c r="S49" s="45" t="s">
        <v>168</v>
      </c>
      <c r="T49" s="3"/>
      <c r="U49" s="3"/>
      <c r="V49" s="3"/>
      <c r="W49" s="26"/>
      <c r="X49" s="14"/>
      <c r="Y49" s="14"/>
      <c r="Z49" s="14"/>
      <c r="AA49" s="14"/>
      <c r="AB49" s="14"/>
    </row>
    <row r="50" spans="1:28" ht="15" customHeight="1" x14ac:dyDescent="0.2">
      <c r="A50" s="50" t="str">
        <f>A35</f>
        <v>Cows/ha or acre</v>
      </c>
      <c r="B50" s="39">
        <f>(E51+F51+G51)/D48</f>
        <v>0</v>
      </c>
      <c r="C50" s="60"/>
      <c r="D50" s="50" t="str">
        <f t="shared" si="11"/>
        <v>Livestock Types</v>
      </c>
      <c r="E50" s="52" t="str">
        <f>E35</f>
        <v>Cows</v>
      </c>
      <c r="F50" s="52" t="str">
        <f>F35</f>
        <v>Fat Dries</v>
      </c>
      <c r="G50" s="52" t="str">
        <f>G35</f>
        <v>Thin Dries</v>
      </c>
      <c r="H50" s="52" t="str">
        <f>H35</f>
        <v>Yearlings</v>
      </c>
      <c r="I50" s="52" t="str">
        <f>I35</f>
        <v>Calves</v>
      </c>
      <c r="J50" s="37">
        <f>J41</f>
        <v>-38.75</v>
      </c>
      <c r="K50" s="12"/>
      <c r="L50" s="55" t="s">
        <v>169</v>
      </c>
      <c r="M50" s="26">
        <v>45</v>
      </c>
      <c r="N50" s="45" t="s">
        <v>170</v>
      </c>
      <c r="O50" s="26">
        <v>3</v>
      </c>
      <c r="P50" s="26"/>
      <c r="Q50" s="26">
        <v>12</v>
      </c>
      <c r="R50" s="26">
        <v>90</v>
      </c>
      <c r="S50" s="26">
        <v>22</v>
      </c>
      <c r="T50" s="3"/>
      <c r="U50" s="3"/>
      <c r="V50" s="3"/>
      <c r="W50" s="26"/>
      <c r="X50" s="14"/>
      <c r="Y50" s="14"/>
      <c r="Z50" s="14"/>
      <c r="AA50" s="14"/>
      <c r="AB50" s="14"/>
    </row>
    <row r="51" spans="1:28" ht="15" customHeight="1" x14ac:dyDescent="0.2">
      <c r="A51" s="12"/>
      <c r="B51" s="56"/>
      <c r="C51" s="61"/>
      <c r="D51" s="50" t="str">
        <f t="shared" si="11"/>
        <v>Correct the average stock numbers for the month</v>
      </c>
      <c r="E51" s="8"/>
      <c r="F51" s="8"/>
      <c r="G51" s="8"/>
      <c r="H51" s="8"/>
      <c r="I51" s="8"/>
      <c r="J51" s="53" t="str">
        <f>J36</f>
        <v>Tonnes Grain</v>
      </c>
      <c r="K51" s="12"/>
      <c r="L51" s="55" t="s">
        <v>171</v>
      </c>
      <c r="M51" s="26">
        <v>35</v>
      </c>
      <c r="N51" s="45" t="s">
        <v>172</v>
      </c>
      <c r="O51" s="26">
        <v>4</v>
      </c>
      <c r="P51" s="26"/>
      <c r="Q51" s="26">
        <v>10</v>
      </c>
      <c r="R51" s="26">
        <v>85</v>
      </c>
      <c r="S51" s="26">
        <v>15</v>
      </c>
      <c r="T51" s="3"/>
      <c r="U51" s="3"/>
      <c r="V51" s="3"/>
      <c r="W51" s="26"/>
      <c r="X51" s="14"/>
      <c r="Y51" s="14"/>
      <c r="Z51" s="14"/>
      <c r="AA51" s="14"/>
      <c r="AB51" s="14"/>
    </row>
    <row r="52" spans="1:28" ht="15" customHeight="1" x14ac:dyDescent="0.2">
      <c r="A52" s="12"/>
      <c r="B52" s="3"/>
      <c r="C52" s="37"/>
      <c r="D52" s="50" t="str">
        <f t="shared" si="11"/>
        <v>Enter kg DM of hay/animal/day</v>
      </c>
      <c r="E52" s="8"/>
      <c r="F52" s="8"/>
      <c r="G52" s="8"/>
      <c r="H52" s="8"/>
      <c r="I52" s="8"/>
      <c r="J52" s="33">
        <f>J43</f>
        <v>0</v>
      </c>
      <c r="K52" s="3"/>
      <c r="L52" s="3"/>
      <c r="M52" s="3"/>
      <c r="N52" s="3"/>
      <c r="O52" s="3"/>
      <c r="P52" s="26"/>
      <c r="Q52" s="3"/>
      <c r="R52" s="3"/>
      <c r="S52" s="3"/>
      <c r="T52" s="3"/>
      <c r="U52" s="3"/>
      <c r="V52" s="3"/>
      <c r="W52" s="26"/>
      <c r="X52" s="14"/>
      <c r="Y52" s="14"/>
      <c r="Z52" s="14"/>
      <c r="AA52" s="14"/>
      <c r="AB52" s="14"/>
    </row>
    <row r="53" spans="1:28" ht="15" customHeight="1" x14ac:dyDescent="0.2">
      <c r="A53" s="12"/>
      <c r="B53" s="3"/>
      <c r="C53" s="37"/>
      <c r="D53" s="50" t="str">
        <f t="shared" si="11"/>
        <v>Enter kg DM of silage/animal/day</v>
      </c>
      <c r="E53" s="8"/>
      <c r="F53" s="8"/>
      <c r="G53" s="8"/>
      <c r="H53" s="8"/>
      <c r="I53" s="8"/>
      <c r="J53" s="53" t="str">
        <f>J38</f>
        <v>20kg Bales Over</v>
      </c>
      <c r="K53" s="12"/>
      <c r="L53" s="21" t="s">
        <v>173</v>
      </c>
      <c r="M53" s="12"/>
      <c r="N53" s="3"/>
      <c r="O53" s="12"/>
      <c r="P53" s="26"/>
      <c r="Q53" s="3"/>
      <c r="R53" s="3"/>
      <c r="S53" s="3"/>
      <c r="T53" s="3"/>
      <c r="U53" s="3"/>
      <c r="V53" s="26"/>
      <c r="W53" s="26"/>
      <c r="X53" s="14"/>
      <c r="Y53" s="14"/>
      <c r="Z53" s="14"/>
      <c r="AA53" s="14"/>
      <c r="AB53" s="14"/>
    </row>
    <row r="54" spans="1:28" ht="15" customHeight="1" x14ac:dyDescent="0.2">
      <c r="A54" s="14"/>
      <c r="B54" s="14"/>
      <c r="C54" s="62"/>
      <c r="D54" s="50" t="str">
        <f t="shared" si="11"/>
        <v>Enter kg DM of pasture/animal/day</v>
      </c>
      <c r="E54" s="8"/>
      <c r="F54" s="8"/>
      <c r="G54" s="8"/>
      <c r="H54" s="8"/>
      <c r="I54" s="8"/>
      <c r="J54" s="37" t="e">
        <f>J48-((E51*E52)+(F51*F52)+(G51*G52)+(H51*H52)+(I51*I52))*B48/$L$3</f>
        <v>#VALUE!</v>
      </c>
      <c r="K54" s="12"/>
      <c r="L54" s="30" t="s">
        <v>174</v>
      </c>
      <c r="M54" s="12"/>
      <c r="N54" s="3"/>
      <c r="O54" s="12"/>
      <c r="P54" s="26"/>
      <c r="Q54" s="3"/>
      <c r="R54" s="3"/>
      <c r="S54" s="3"/>
      <c r="T54" s="3"/>
      <c r="U54" s="3"/>
      <c r="V54" s="3"/>
      <c r="W54" s="26"/>
      <c r="X54" s="14"/>
      <c r="Y54" s="14"/>
      <c r="Z54" s="14"/>
      <c r="AA54" s="14"/>
      <c r="AB54" s="14"/>
    </row>
    <row r="55" spans="1:28" ht="15" customHeight="1" x14ac:dyDescent="0.2">
      <c r="A55" s="12"/>
      <c r="B55" s="3"/>
      <c r="C55" s="37"/>
      <c r="D55" s="50" t="str">
        <f t="shared" si="11"/>
        <v>Enter kg DM of grain/animal/day</v>
      </c>
      <c r="E55" s="8"/>
      <c r="F55" s="8"/>
      <c r="G55" s="8"/>
      <c r="H55" s="8"/>
      <c r="I55" s="8"/>
      <c r="J55" s="53" t="str">
        <f>J40</f>
        <v>m3 Silage Over</v>
      </c>
      <c r="K55" s="12"/>
      <c r="L55" s="23" t="s">
        <v>175</v>
      </c>
      <c r="M55" s="12"/>
      <c r="N55" s="12"/>
      <c r="O55" s="12"/>
      <c r="P55" s="3"/>
      <c r="Q55" s="3"/>
      <c r="R55" s="3"/>
      <c r="S55" s="3"/>
      <c r="T55" s="3"/>
      <c r="U55" s="3"/>
      <c r="V55" s="14"/>
      <c r="W55" s="14"/>
      <c r="X55" s="14"/>
      <c r="Y55" s="14"/>
      <c r="Z55" s="14"/>
      <c r="AA55" s="14"/>
      <c r="AB55" s="14"/>
    </row>
    <row r="56" spans="1:28" ht="16" customHeight="1" x14ac:dyDescent="0.2">
      <c r="A56" s="12"/>
      <c r="B56" s="3"/>
      <c r="C56" s="37"/>
      <c r="D56" s="50" t="str">
        <f t="shared" si="11"/>
        <v>Total kg DM fed/animal/day</v>
      </c>
      <c r="E56" s="39">
        <f>E52+E53+E54+E55</f>
        <v>0</v>
      </c>
      <c r="F56" s="39">
        <f>F52+F53+F54+F55</f>
        <v>0</v>
      </c>
      <c r="G56" s="39">
        <f>G52+G53+G54+G55</f>
        <v>0</v>
      </c>
      <c r="H56" s="39">
        <f>H52+H53+H54+H55</f>
        <v>0</v>
      </c>
      <c r="I56" s="39">
        <f>I52+I53+I54+I55</f>
        <v>0</v>
      </c>
      <c r="J56" s="37">
        <f>J50-((E51*E53)+(F51*F53)+(G51*G53)+(H51*H53)+(I51*I53))*B48/$L$4</f>
        <v>-38.75</v>
      </c>
      <c r="K56" s="3"/>
      <c r="L56" s="23" t="s">
        <v>176</v>
      </c>
      <c r="M56" s="12"/>
      <c r="N56" s="12"/>
      <c r="O56" s="12"/>
      <c r="P56" s="3"/>
      <c r="Q56" s="3"/>
      <c r="R56" s="3"/>
      <c r="S56" s="3"/>
      <c r="T56" s="3"/>
      <c r="U56" s="3"/>
      <c r="V56" s="14"/>
      <c r="W56" s="14"/>
      <c r="X56" s="14"/>
      <c r="Y56" s="14"/>
      <c r="Z56" s="14"/>
      <c r="AA56" s="14"/>
      <c r="AB56" s="14"/>
    </row>
    <row r="57" spans="1:28" ht="16" customHeight="1" x14ac:dyDescent="0.2">
      <c r="A57" s="12"/>
      <c r="B57" s="28"/>
      <c r="C57" s="50" t="s">
        <v>51</v>
      </c>
      <c r="D57" s="33">
        <f>D58/B48</f>
        <v>0</v>
      </c>
      <c r="E57" s="63" t="str">
        <f>E42</f>
        <v>kg pasture DM/kg MS</v>
      </c>
      <c r="F57" s="54"/>
      <c r="G57" s="54"/>
      <c r="H57" s="53" t="str">
        <f>H42</f>
        <v>Estim'd kg MS/cow/day</v>
      </c>
      <c r="I57" s="37"/>
      <c r="J57" s="53" t="str">
        <f>J42</f>
        <v>Grain Over</v>
      </c>
      <c r="K57" s="12"/>
      <c r="L57" s="23" t="s">
        <v>177</v>
      </c>
      <c r="M57" s="3"/>
      <c r="N57" s="3"/>
      <c r="O57" s="3"/>
      <c r="P57" s="3"/>
      <c r="Q57" s="3"/>
      <c r="R57" s="3"/>
      <c r="S57" s="3"/>
      <c r="T57" s="3"/>
      <c r="U57" s="3"/>
      <c r="V57" s="14"/>
      <c r="W57" s="14"/>
      <c r="X57" s="14"/>
      <c r="Y57" s="14"/>
      <c r="Z57" s="14"/>
      <c r="AA57" s="14"/>
      <c r="AB57" s="14"/>
    </row>
    <row r="58" spans="1:28" ht="16" customHeight="1" x14ac:dyDescent="0.2">
      <c r="A58" s="31"/>
      <c r="B58" s="28"/>
      <c r="C58" s="50" t="s">
        <v>56</v>
      </c>
      <c r="D58" s="37">
        <f>(E51*B48*E52*$O$44/E58)+(E51*B48*E53*$Q$44/E58)+(E51*B48*E54*$S$44/E58)+(E51*B48*E55*$U$44/E58)</f>
        <v>0</v>
      </c>
      <c r="E58" s="54">
        <f>R34</f>
        <v>16</v>
      </c>
      <c r="F58" s="26"/>
      <c r="G58" s="26"/>
      <c r="H58" s="73">
        <v>0</v>
      </c>
      <c r="I58" s="28"/>
      <c r="J58" s="33">
        <f>J52-((E51*E55)+(F51*F55)+(G51*G55)+(H51*H55)+(I51*I55))*B48/1000</f>
        <v>0</v>
      </c>
      <c r="K58" s="12"/>
      <c r="L58" s="30" t="s">
        <v>178</v>
      </c>
      <c r="M58" s="12"/>
      <c r="N58" s="12"/>
      <c r="O58" s="12"/>
      <c r="P58" s="3"/>
      <c r="Q58" s="3"/>
      <c r="R58" s="3"/>
      <c r="S58" s="3"/>
      <c r="T58" s="3"/>
      <c r="U58" s="3"/>
      <c r="V58" s="14"/>
      <c r="W58" s="14"/>
      <c r="X58" s="14"/>
      <c r="Y58" s="14"/>
      <c r="Z58" s="14"/>
      <c r="AA58" s="14"/>
      <c r="AB58" s="14"/>
    </row>
    <row r="59" spans="1:28" ht="16" customHeight="1" x14ac:dyDescent="0.2">
      <c r="A59" s="61"/>
      <c r="B59" s="50" t="str">
        <f>B44</f>
        <v>Cover/ha at end of month</v>
      </c>
      <c r="C59" s="43">
        <f>C47+((B48*E48*E49)-((E51*E54)+(F51*F54)+(G51*G54)+(H51*H54)+(I51*I54))*B48)/E48</f>
        <v>-21838</v>
      </c>
      <c r="D59" s="65" t="str">
        <f t="shared" ref="D59:J59" si="12">D44</f>
        <v>kg/ha</v>
      </c>
      <c r="E59" s="66" t="str">
        <f t="shared" si="12"/>
        <v>Pasture ha</v>
      </c>
      <c r="F59" s="66" t="str">
        <f t="shared" si="12"/>
        <v>kg DM hay</v>
      </c>
      <c r="G59" s="66" t="str">
        <f t="shared" si="12"/>
        <v>20 kg Bales</v>
      </c>
      <c r="H59" s="66" t="str">
        <f t="shared" si="12"/>
        <v>kgDM Silage</v>
      </c>
      <c r="I59" s="66" t="str">
        <f t="shared" si="12"/>
        <v>m3 Silage</v>
      </c>
      <c r="J59" s="53" t="str">
        <f t="shared" si="12"/>
        <v>Enter CS below</v>
      </c>
      <c r="K59" s="3"/>
      <c r="L59" s="23" t="s">
        <v>179</v>
      </c>
      <c r="M59" s="3"/>
      <c r="N59" s="3"/>
      <c r="O59" s="3"/>
      <c r="P59" s="26"/>
      <c r="Q59" s="3"/>
      <c r="R59" s="3"/>
      <c r="S59" s="3"/>
      <c r="T59" s="3"/>
      <c r="U59" s="3"/>
      <c r="V59" s="14"/>
      <c r="W59" s="14"/>
      <c r="X59" s="14"/>
      <c r="Y59" s="14"/>
      <c r="Z59" s="14"/>
      <c r="AA59" s="14"/>
      <c r="AB59" s="14"/>
    </row>
    <row r="60" spans="1:28" ht="16" customHeight="1" x14ac:dyDescent="0.2">
      <c r="A60" s="12"/>
      <c r="B60" s="3"/>
      <c r="C60" s="60"/>
      <c r="D60" s="50" t="str">
        <f>D45</f>
        <v>Excess or shortfall. Use any one</v>
      </c>
      <c r="E60" s="33" t="e">
        <f>((E48*E49*B48)-(((E51*E54)+(F51*F54)+(G51*G54)+(H51*H54)+(I51*I54))*B48))/B48/E49</f>
        <v>#DIV/0!</v>
      </c>
      <c r="F60" s="37">
        <f>((E48*E49*B48)-(((E51*E54)+(F51*F54)+(G51*G54)+(H51*H54)+(I51*I54))*B48))/B48</f>
        <v>0</v>
      </c>
      <c r="G60" s="37">
        <f>((E48*E49*B48)-(((E51*E54)+(F51*F54)+(G51*G54)+(H51*H54)+(I51*I54))*B48))/B48/$L$3</f>
        <v>0</v>
      </c>
      <c r="H60" s="37">
        <f>((E48*E49*B48)-(((E51*E54)+(F51*F54)+(G51*G54)+(H51*H54)+(I51*I54))*B48))/B48</f>
        <v>0</v>
      </c>
      <c r="I60" s="37">
        <f>((E48*E49*B48)-(((E51*E54)+(F51*F54)+(G51*G54)+(H51*H54)+(I51*I54))*B48))/B48/$L$4</f>
        <v>0</v>
      </c>
      <c r="J60" s="27"/>
      <c r="K60" s="3"/>
      <c r="L60" s="30" t="s">
        <v>180</v>
      </c>
      <c r="M60" s="12"/>
      <c r="N60" s="12"/>
      <c r="O60" s="12"/>
      <c r="P60" s="26"/>
      <c r="Q60" s="3"/>
      <c r="R60" s="3"/>
      <c r="S60" s="6" t="s">
        <v>181</v>
      </c>
      <c r="T60" s="3"/>
      <c r="U60" s="3"/>
      <c r="V60" s="14"/>
      <c r="W60" s="14"/>
      <c r="X60" s="14"/>
      <c r="Y60" s="14"/>
      <c r="Z60" s="14"/>
      <c r="AA60" s="14"/>
      <c r="AB60" s="14"/>
    </row>
    <row r="61" spans="1:28" ht="16" customHeight="1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3"/>
      <c r="L61" s="23" t="s">
        <v>182</v>
      </c>
      <c r="M61" s="3"/>
      <c r="N61" s="3"/>
      <c r="O61" s="3"/>
      <c r="P61" s="3"/>
      <c r="Q61" s="3"/>
      <c r="R61" s="3"/>
      <c r="S61" s="28">
        <v>1</v>
      </c>
      <c r="T61" s="14"/>
      <c r="U61" s="14"/>
      <c r="V61" s="14"/>
      <c r="W61" s="14"/>
      <c r="X61" s="14"/>
      <c r="Y61" s="14"/>
      <c r="Z61" s="14"/>
      <c r="AA61" s="14"/>
      <c r="AB61" s="14"/>
    </row>
    <row r="62" spans="1:28" ht="15" customHeight="1" x14ac:dyDescent="0.2">
      <c r="A62" s="50" t="str">
        <f>A47</f>
        <v>Enter cover/ha at 1</v>
      </c>
      <c r="B62" s="19" t="s">
        <v>132</v>
      </c>
      <c r="C62" s="51">
        <f>C59</f>
        <v>-21838</v>
      </c>
      <c r="D62" s="52" t="str">
        <f t="shared" ref="D62:J62" si="13">D47</f>
        <v>hectares</v>
      </c>
      <c r="E62" s="52" t="str">
        <f t="shared" si="13"/>
        <v>ha or acres</v>
      </c>
      <c r="F62" s="52" t="str">
        <f t="shared" si="13"/>
        <v>Crop ha/a</v>
      </c>
      <c r="G62" s="52" t="str">
        <f t="shared" si="13"/>
        <v>NewGrass ha/a</v>
      </c>
      <c r="H62" s="52" t="str">
        <f t="shared" si="13"/>
        <v>Other ha/a</v>
      </c>
      <c r="I62" s="52" t="str">
        <f t="shared" si="13"/>
        <v>Other ha/a</v>
      </c>
      <c r="J62" s="53" t="str">
        <f t="shared" si="13"/>
        <v># 20 kg Bales</v>
      </c>
      <c r="K62" s="3"/>
      <c r="L62" s="30" t="s">
        <v>183</v>
      </c>
      <c r="M62" s="12"/>
      <c r="N62" s="12"/>
      <c r="O62" s="12"/>
      <c r="P62" s="26"/>
      <c r="Q62" s="3"/>
      <c r="R62" s="3"/>
      <c r="S62" s="76">
        <v>2</v>
      </c>
      <c r="T62" s="3"/>
      <c r="U62" s="3"/>
      <c r="V62" s="14"/>
      <c r="W62" s="14"/>
      <c r="X62" s="14"/>
      <c r="Y62" s="14"/>
      <c r="Z62" s="14"/>
      <c r="AA62" s="14"/>
      <c r="AB62" s="14"/>
    </row>
    <row r="63" spans="1:28" ht="15" customHeight="1" x14ac:dyDescent="0.2">
      <c r="A63" s="50" t="str">
        <f>A48</f>
        <v># of days in month</v>
      </c>
      <c r="B63" s="27">
        <v>31</v>
      </c>
      <c r="C63" s="28"/>
      <c r="D63" s="54">
        <f t="shared" ref="D63:D71" si="14">D48</f>
        <v>1</v>
      </c>
      <c r="E63" s="54">
        <f>D63-F63-G63-H63-I63</f>
        <v>1</v>
      </c>
      <c r="F63" s="8"/>
      <c r="G63" s="8"/>
      <c r="H63" s="8"/>
      <c r="I63" s="8"/>
      <c r="J63" s="37" t="e">
        <f>J54</f>
        <v>#VALUE!</v>
      </c>
      <c r="K63" s="3"/>
      <c r="L63" s="13" t="s">
        <v>184</v>
      </c>
      <c r="M63" s="3"/>
      <c r="N63" s="3"/>
      <c r="O63" s="3"/>
      <c r="P63" s="3"/>
      <c r="Q63" s="3"/>
      <c r="R63" s="3"/>
      <c r="S63" s="77">
        <v>3</v>
      </c>
      <c r="T63" s="14"/>
      <c r="U63" s="14"/>
      <c r="V63" s="14"/>
      <c r="W63" s="14"/>
      <c r="X63" s="14"/>
      <c r="Y63" s="14"/>
      <c r="Z63" s="14"/>
      <c r="AA63" s="14"/>
      <c r="AB63" s="14"/>
    </row>
    <row r="64" spans="1:28" ht="15" customHeight="1" x14ac:dyDescent="0.2">
      <c r="A64" s="12"/>
      <c r="B64" s="56"/>
      <c r="C64" s="37"/>
      <c r="D64" s="50" t="str">
        <f t="shared" si="14"/>
        <v>Enter your pasture dry matter daily growth figure.</v>
      </c>
      <c r="E64" s="8"/>
      <c r="F64" s="57"/>
      <c r="G64" s="57"/>
      <c r="H64" s="54"/>
      <c r="I64" s="50" t="str">
        <f>I49</f>
        <v>Count and enter correct hay, silage &amp; grain figures</v>
      </c>
      <c r="J64" s="53" t="str">
        <f>J49</f>
        <v>m3 Silage</v>
      </c>
      <c r="K64" s="3"/>
      <c r="L64" s="23" t="s">
        <v>185</v>
      </c>
      <c r="M64" s="3"/>
      <c r="N64" s="3"/>
      <c r="O64" s="3"/>
      <c r="P64" s="3"/>
      <c r="Q64" s="3"/>
      <c r="R64" s="3"/>
      <c r="S64" s="35">
        <v>4</v>
      </c>
      <c r="T64" s="14"/>
      <c r="U64" s="14"/>
      <c r="V64" s="14"/>
      <c r="W64" s="14"/>
      <c r="X64" s="14"/>
      <c r="Y64" s="14"/>
      <c r="Z64" s="14"/>
      <c r="AA64" s="14"/>
      <c r="AB64" s="14"/>
    </row>
    <row r="65" spans="1:28" ht="15" customHeight="1" x14ac:dyDescent="0.2">
      <c r="A65" s="50" t="str">
        <f>A50</f>
        <v>Cows/ha or acre</v>
      </c>
      <c r="B65" s="39">
        <f>(E66+F66+G66)/D63</f>
        <v>0</v>
      </c>
      <c r="C65" s="60"/>
      <c r="D65" s="50" t="str">
        <f t="shared" si="14"/>
        <v>Livestock Types</v>
      </c>
      <c r="E65" s="52" t="str">
        <f>E50</f>
        <v>Cows</v>
      </c>
      <c r="F65" s="52" t="str">
        <f>F50</f>
        <v>Fat Dries</v>
      </c>
      <c r="G65" s="52" t="str">
        <f>G50</f>
        <v>Thin Dries</v>
      </c>
      <c r="H65" s="52" t="str">
        <f>H50</f>
        <v>Yearlings</v>
      </c>
      <c r="I65" s="52" t="str">
        <f>I50</f>
        <v>Calves</v>
      </c>
      <c r="J65" s="37">
        <f>J56</f>
        <v>-38.75</v>
      </c>
      <c r="K65" s="3"/>
      <c r="L65" s="30" t="s">
        <v>186</v>
      </c>
      <c r="M65" s="26"/>
      <c r="N65" s="3"/>
      <c r="O65" s="3"/>
      <c r="P65" s="3"/>
      <c r="Q65" s="3"/>
      <c r="R65" s="3"/>
      <c r="S65" s="78">
        <v>5</v>
      </c>
      <c r="T65" s="14"/>
      <c r="U65" s="14"/>
      <c r="V65" s="14"/>
      <c r="W65" s="14"/>
      <c r="X65" s="14"/>
      <c r="Y65" s="14"/>
      <c r="Z65" s="14"/>
      <c r="AA65" s="14"/>
      <c r="AB65" s="14"/>
    </row>
    <row r="66" spans="1:28" ht="15" customHeight="1" x14ac:dyDescent="0.2">
      <c r="A66" s="12"/>
      <c r="B66" s="56"/>
      <c r="C66" s="61"/>
      <c r="D66" s="50" t="str">
        <f t="shared" si="14"/>
        <v>Correct the average stock numbers for the month</v>
      </c>
      <c r="E66" s="8"/>
      <c r="F66" s="8"/>
      <c r="G66" s="8"/>
      <c r="H66" s="8"/>
      <c r="I66" s="8"/>
      <c r="J66" s="53" t="str">
        <f>J51</f>
        <v>Tonnes Grain</v>
      </c>
      <c r="K66" s="3"/>
      <c r="L66" s="3"/>
      <c r="M66" s="3"/>
      <c r="N66" s="26"/>
      <c r="O66" s="26"/>
      <c r="P66" s="26"/>
      <c r="Q66" s="26"/>
      <c r="R66" s="26"/>
      <c r="S66" s="79">
        <v>0.06</v>
      </c>
      <c r="T66" s="3"/>
      <c r="U66" s="3"/>
      <c r="V66" s="14"/>
      <c r="W66" s="14"/>
      <c r="X66" s="14"/>
      <c r="Y66" s="14"/>
      <c r="Z66" s="14"/>
      <c r="AA66" s="14"/>
      <c r="AB66" s="14"/>
    </row>
    <row r="67" spans="1:28" ht="15" customHeight="1" x14ac:dyDescent="0.2">
      <c r="A67" s="12"/>
      <c r="B67" s="3"/>
      <c r="C67" s="37"/>
      <c r="D67" s="50" t="str">
        <f t="shared" si="14"/>
        <v>Enter kg DM of hay/animal/day</v>
      </c>
      <c r="E67" s="8"/>
      <c r="F67" s="8"/>
      <c r="G67" s="8"/>
      <c r="H67" s="8"/>
      <c r="I67" s="8"/>
      <c r="J67" s="33">
        <f>J58</f>
        <v>0</v>
      </c>
      <c r="K67" s="3"/>
      <c r="L67" s="80" t="s">
        <v>187</v>
      </c>
      <c r="M67" s="12"/>
      <c r="N67" s="12"/>
      <c r="O67" s="12"/>
      <c r="P67" s="26"/>
      <c r="Q67" s="3"/>
      <c r="R67" s="3"/>
      <c r="S67" s="81">
        <v>7.0000000000000007E-2</v>
      </c>
      <c r="T67" s="3"/>
      <c r="U67" s="3"/>
      <c r="V67" s="14"/>
      <c r="W67" s="14"/>
      <c r="X67" s="14"/>
      <c r="Y67" s="14"/>
      <c r="Z67" s="14"/>
      <c r="AA67" s="14"/>
      <c r="AB67" s="14"/>
    </row>
    <row r="68" spans="1:28" ht="15" customHeight="1" x14ac:dyDescent="0.2">
      <c r="A68" s="12"/>
      <c r="B68" s="3"/>
      <c r="C68" s="37"/>
      <c r="D68" s="50" t="str">
        <f t="shared" si="14"/>
        <v>Enter kg DM of silage/animal/day</v>
      </c>
      <c r="E68" s="8"/>
      <c r="F68" s="8"/>
      <c r="G68" s="8"/>
      <c r="H68" s="8"/>
      <c r="I68" s="8"/>
      <c r="J68" s="53" t="str">
        <f>J53</f>
        <v>20kg Bales Over</v>
      </c>
      <c r="K68" s="3"/>
      <c r="L68" s="55" t="s">
        <v>188</v>
      </c>
      <c r="M68" s="12"/>
      <c r="N68" s="12"/>
      <c r="O68" s="12"/>
      <c r="P68" s="26"/>
      <c r="Q68" s="3"/>
      <c r="R68" s="3"/>
      <c r="S68" s="82">
        <v>0.08</v>
      </c>
      <c r="T68" s="3"/>
      <c r="U68" s="3"/>
      <c r="V68" s="14"/>
      <c r="W68" s="14"/>
      <c r="X68" s="14"/>
      <c r="Y68" s="14"/>
      <c r="Z68" s="14"/>
      <c r="AA68" s="14"/>
      <c r="AB68" s="14"/>
    </row>
    <row r="69" spans="1:28" ht="15" customHeight="1" x14ac:dyDescent="0.2">
      <c r="A69" s="14"/>
      <c r="B69" s="14"/>
      <c r="C69" s="62"/>
      <c r="D69" s="50" t="str">
        <f t="shared" si="14"/>
        <v>Enter kg DM of pasture/animal/day</v>
      </c>
      <c r="E69" s="8"/>
      <c r="F69" s="8"/>
      <c r="G69" s="8"/>
      <c r="H69" s="8"/>
      <c r="I69" s="8"/>
      <c r="J69" s="37" t="e">
        <f>J63-((E66*E67)+(F66*F67)+(G66*G67)+(H66*H67)+(I66*I67))*B63/$L$3</f>
        <v>#VALUE!</v>
      </c>
      <c r="K69" s="3"/>
      <c r="L69" s="3"/>
      <c r="M69" s="3"/>
      <c r="N69" s="3"/>
      <c r="O69" s="3"/>
      <c r="P69" s="26"/>
      <c r="Q69" s="3"/>
      <c r="R69" s="3"/>
      <c r="S69" s="83">
        <v>34321</v>
      </c>
      <c r="T69" s="3"/>
      <c r="U69" s="3"/>
      <c r="V69" s="14"/>
      <c r="W69" s="14"/>
      <c r="X69" s="14"/>
      <c r="Y69" s="14"/>
      <c r="Z69" s="14"/>
      <c r="AA69" s="14"/>
      <c r="AB69" s="14"/>
    </row>
    <row r="70" spans="1:28" ht="15" customHeight="1" x14ac:dyDescent="0.2">
      <c r="A70" s="12"/>
      <c r="B70" s="3"/>
      <c r="C70" s="37"/>
      <c r="D70" s="50" t="str">
        <f t="shared" si="14"/>
        <v>Enter kg DM of grain/animal/day</v>
      </c>
      <c r="E70" s="8"/>
      <c r="F70" s="8"/>
      <c r="G70" s="8"/>
      <c r="H70" s="8"/>
      <c r="I70" s="8"/>
      <c r="J70" s="53" t="str">
        <f>J55</f>
        <v>m3 Silage Over</v>
      </c>
      <c r="K70" s="3"/>
      <c r="L70" s="75" t="s">
        <v>189</v>
      </c>
      <c r="M70" s="3"/>
      <c r="N70" s="3"/>
      <c r="O70" s="3"/>
      <c r="P70" s="3"/>
      <c r="Q70" s="3"/>
      <c r="R70" s="3"/>
      <c r="S70" s="84">
        <f ca="1">NOW()</f>
        <v>41329.480075925923</v>
      </c>
      <c r="T70" s="14"/>
      <c r="U70" s="14"/>
      <c r="V70" s="14"/>
      <c r="W70" s="14"/>
      <c r="X70" s="14"/>
      <c r="Y70" s="14"/>
      <c r="Z70" s="14"/>
      <c r="AA70" s="14"/>
      <c r="AB70" s="14"/>
    </row>
    <row r="71" spans="1:28" ht="15" customHeight="1" x14ac:dyDescent="0.2">
      <c r="A71" s="12"/>
      <c r="B71" s="3"/>
      <c r="C71" s="37"/>
      <c r="D71" s="50" t="str">
        <f t="shared" si="14"/>
        <v>Total kg DM fed/animal/day</v>
      </c>
      <c r="E71" s="39">
        <f>E67+E68+E69+E70</f>
        <v>0</v>
      </c>
      <c r="F71" s="39">
        <f>F67+F68+F69+F70</f>
        <v>0</v>
      </c>
      <c r="G71" s="39">
        <f>G67+G68+G69+G70</f>
        <v>0</v>
      </c>
      <c r="H71" s="39">
        <f>H67+H68+H69+H70</f>
        <v>0</v>
      </c>
      <c r="I71" s="39">
        <f>I67+I68+I69+I70</f>
        <v>0</v>
      </c>
      <c r="J71" s="37">
        <f>J65-((E66*E68)+(F66*F68)+(G66*G68)+(H66*H68)+(I66*I68))*B63/$L$4</f>
        <v>-38.75</v>
      </c>
      <c r="K71" s="3"/>
      <c r="L71" s="3"/>
      <c r="M71" s="6" t="s">
        <v>190</v>
      </c>
      <c r="N71" s="6" t="s">
        <v>191</v>
      </c>
      <c r="O71" s="26"/>
      <c r="P71" s="26"/>
      <c r="Q71" s="26"/>
      <c r="R71" s="26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ht="11.5" customHeight="1" x14ac:dyDescent="0.2">
      <c r="A72" s="12"/>
      <c r="B72" s="28"/>
      <c r="C72" s="50" t="s">
        <v>51</v>
      </c>
      <c r="D72" s="33">
        <f>D73/B63</f>
        <v>0</v>
      </c>
      <c r="E72" s="63" t="str">
        <f>E57</f>
        <v>kg pasture DM/kg MS</v>
      </c>
      <c r="F72" s="54"/>
      <c r="G72" s="54"/>
      <c r="H72" s="53" t="str">
        <f>H57</f>
        <v>Estim'd kg MS/cow/day</v>
      </c>
      <c r="I72" s="37"/>
      <c r="J72" s="53" t="str">
        <f>J57</f>
        <v>Grain Over</v>
      </c>
      <c r="K72" s="3"/>
      <c r="L72" s="18" t="s">
        <v>192</v>
      </c>
      <c r="M72" s="85">
        <v>35000</v>
      </c>
      <c r="N72" s="85">
        <v>4000</v>
      </c>
      <c r="O72" s="32" t="s">
        <v>193</v>
      </c>
      <c r="P72" s="26"/>
      <c r="Q72" s="26"/>
      <c r="R72" s="26"/>
      <c r="S72" s="14"/>
      <c r="T72" s="14"/>
      <c r="U72" s="14"/>
      <c r="V72" s="14"/>
      <c r="W72" s="14"/>
      <c r="X72" s="14"/>
      <c r="Y72" s="14"/>
      <c r="Z72" s="14"/>
      <c r="AA72" s="14"/>
      <c r="AB72" s="14"/>
    </row>
    <row r="73" spans="1:28" ht="15" customHeight="1" x14ac:dyDescent="0.2">
      <c r="A73" s="31"/>
      <c r="B73" s="28"/>
      <c r="C73" s="50" t="s">
        <v>56</v>
      </c>
      <c r="D73" s="37">
        <f>(E66*B63*E67*$O$44/E73)+(E66*B63*E68*$Q$44/E73)+(E66*B63*E69*$S$44/E73)+(E66*B63*E70*$U$44/E73)</f>
        <v>0</v>
      </c>
      <c r="E73" s="54">
        <f>R35</f>
        <v>15</v>
      </c>
      <c r="F73" s="26"/>
      <c r="G73" s="26"/>
      <c r="H73" s="73">
        <v>0</v>
      </c>
      <c r="I73" s="28"/>
      <c r="J73" s="33">
        <f>J67-((E66*E70)+(F66*F70)+(G66*G70)+(H66*H70)+(I66*I70))*B63/1000</f>
        <v>0</v>
      </c>
      <c r="K73" s="3"/>
      <c r="L73" s="18" t="s">
        <v>194</v>
      </c>
      <c r="M73" s="86">
        <v>7.0000000000000007E-2</v>
      </c>
      <c r="N73" s="86">
        <v>7.0000000000000007E-2</v>
      </c>
      <c r="O73" s="32" t="s">
        <v>193</v>
      </c>
      <c r="P73" s="26"/>
      <c r="Q73" s="26"/>
      <c r="R73" s="26"/>
      <c r="S73" s="14"/>
      <c r="T73" s="14"/>
      <c r="U73" s="14"/>
      <c r="V73" s="14"/>
      <c r="W73" s="14"/>
      <c r="X73" s="14"/>
      <c r="Y73" s="14"/>
      <c r="Z73" s="14"/>
      <c r="AA73" s="14"/>
      <c r="AB73" s="14"/>
    </row>
    <row r="74" spans="1:28" ht="15" customHeight="1" x14ac:dyDescent="0.2">
      <c r="A74" s="61"/>
      <c r="B74" s="50" t="str">
        <f>B59</f>
        <v>Cover/ha at end of month</v>
      </c>
      <c r="C74" s="43">
        <f>C62+((B63*E63*E64)-((E66*E69)+(F66*F69)+(G66*G69)+(H66*H69)+(I66*I69))*B63)/E63</f>
        <v>-21838</v>
      </c>
      <c r="D74" s="65" t="str">
        <f t="shared" ref="D74:J74" si="15">D59</f>
        <v>kg/ha</v>
      </c>
      <c r="E74" s="66" t="str">
        <f t="shared" si="15"/>
        <v>Pasture ha</v>
      </c>
      <c r="F74" s="66" t="str">
        <f t="shared" si="15"/>
        <v>kg DM hay</v>
      </c>
      <c r="G74" s="66" t="str">
        <f t="shared" si="15"/>
        <v>20 kg Bales</v>
      </c>
      <c r="H74" s="66" t="str">
        <f t="shared" si="15"/>
        <v>kgDM Silage</v>
      </c>
      <c r="I74" s="66" t="str">
        <f t="shared" si="15"/>
        <v>m3 Silage</v>
      </c>
      <c r="J74" s="53" t="str">
        <f t="shared" si="15"/>
        <v>Enter CS below</v>
      </c>
      <c r="K74" s="3"/>
      <c r="L74" s="18" t="s">
        <v>195</v>
      </c>
      <c r="M74" s="87">
        <f>M72*M73</f>
        <v>2450.0000000000005</v>
      </c>
      <c r="N74" s="87">
        <f>N72*N73</f>
        <v>280</v>
      </c>
      <c r="O74" s="32" t="s">
        <v>193</v>
      </c>
      <c r="P74" s="26"/>
      <c r="Q74" s="3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</row>
    <row r="75" spans="1:28" ht="15" customHeight="1" x14ac:dyDescent="0.2">
      <c r="A75" s="12"/>
      <c r="B75" s="3"/>
      <c r="C75" s="60"/>
      <c r="D75" s="50" t="str">
        <f>D60</f>
        <v>Excess or shortfall. Use any one</v>
      </c>
      <c r="E75" s="33" t="e">
        <f>((E63*E64*B63)-(((E66*E69)+(F66*F69)+(G66*G69)+(H66*H69)+(I66*I69))*B63))/B63/E64</f>
        <v>#DIV/0!</v>
      </c>
      <c r="F75" s="37">
        <f>((E63*E64*B63)-(((E66*E69)+(F66*F69)+(G66*G69)+(H66*H69)+(I66*I69))*B63))/B63</f>
        <v>0</v>
      </c>
      <c r="G75" s="37">
        <f>((E63*E64*B63)-(((E66*E69)+(F66*F69)+(G66*G69)+(H66*H69)+(I66*I69))*B63))/B63/$L$3</f>
        <v>0</v>
      </c>
      <c r="H75" s="37">
        <f>((E63*E64*B63)-(((E66*E69)+(F66*F69)+(G66*G69)+(H66*H69)+(I66*I69))*B63))/B63</f>
        <v>0</v>
      </c>
      <c r="I75" s="37">
        <f>((E63*E64*B63)-(((E66*E69)+(F66*F69)+(G66*G69)+(H66*H69)+(I66*I69))*B63))/B63/$L$4</f>
        <v>0</v>
      </c>
      <c r="J75" s="27"/>
      <c r="K75" s="3"/>
      <c r="L75" s="18" t="s">
        <v>196</v>
      </c>
      <c r="M75" s="88">
        <v>50</v>
      </c>
      <c r="N75" s="88">
        <v>20</v>
      </c>
      <c r="O75" s="32" t="s">
        <v>193</v>
      </c>
      <c r="P75" s="26"/>
      <c r="Q75" s="3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</row>
    <row r="76" spans="1:28" ht="1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3"/>
      <c r="L76" s="18" t="s">
        <v>197</v>
      </c>
      <c r="M76" s="89">
        <f>M74+M75</f>
        <v>2500.0000000000005</v>
      </c>
      <c r="N76" s="89">
        <f>N74+N75</f>
        <v>300</v>
      </c>
      <c r="O76" s="3"/>
      <c r="P76" s="26"/>
      <c r="Q76" s="3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</row>
    <row r="77" spans="1:28" ht="15" customHeight="1" x14ac:dyDescent="0.2">
      <c r="A77" s="50" t="str">
        <f>A62</f>
        <v>Enter cover/ha at 1</v>
      </c>
      <c r="B77" s="19" t="s">
        <v>133</v>
      </c>
      <c r="C77" s="51">
        <f>C74</f>
        <v>-21838</v>
      </c>
      <c r="D77" s="52" t="str">
        <f t="shared" ref="D77:J77" si="16">D62</f>
        <v>hectares</v>
      </c>
      <c r="E77" s="52" t="str">
        <f t="shared" si="16"/>
        <v>ha or acres</v>
      </c>
      <c r="F77" s="52" t="str">
        <f t="shared" si="16"/>
        <v>Crop ha/a</v>
      </c>
      <c r="G77" s="52" t="str">
        <f t="shared" si="16"/>
        <v>NewGrass ha/a</v>
      </c>
      <c r="H77" s="52" t="str">
        <f t="shared" si="16"/>
        <v>Other ha/a</v>
      </c>
      <c r="I77" s="52" t="str">
        <f t="shared" si="16"/>
        <v>Other ha/a</v>
      </c>
      <c r="J77" s="53" t="str">
        <f t="shared" si="16"/>
        <v># 20 kg Bales</v>
      </c>
      <c r="K77" s="3"/>
      <c r="L77" s="18" t="s">
        <v>198</v>
      </c>
      <c r="M77" s="27">
        <v>16000</v>
      </c>
      <c r="N77" s="27">
        <v>13000</v>
      </c>
      <c r="O77" s="32" t="s">
        <v>193</v>
      </c>
      <c r="P77" s="26"/>
      <c r="Q77" s="3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</row>
    <row r="78" spans="1:28" ht="15" customHeight="1" x14ac:dyDescent="0.2">
      <c r="A78" s="50" t="str">
        <f>A63</f>
        <v># of days in month</v>
      </c>
      <c r="B78" s="27">
        <v>31</v>
      </c>
      <c r="C78" s="28"/>
      <c r="D78" s="54">
        <f t="shared" ref="D78:D86" si="17">D63</f>
        <v>1</v>
      </c>
      <c r="E78" s="54">
        <f>D78-F78-G78-H78-I78</f>
        <v>1</v>
      </c>
      <c r="F78" s="8"/>
      <c r="G78" s="8"/>
      <c r="H78" s="8"/>
      <c r="I78" s="8"/>
      <c r="J78" s="37" t="e">
        <f>J69</f>
        <v>#VALUE!</v>
      </c>
      <c r="K78" s="3"/>
      <c r="L78" s="18" t="s">
        <v>199</v>
      </c>
      <c r="M78" s="90">
        <f>M76/M77</f>
        <v>0.15625000000000003</v>
      </c>
      <c r="N78" s="90">
        <f>N76/N77</f>
        <v>2.3076923076923078E-2</v>
      </c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</row>
    <row r="79" spans="1:28" ht="15" customHeight="1" x14ac:dyDescent="0.2">
      <c r="A79" s="12"/>
      <c r="B79" s="56"/>
      <c r="C79" s="37"/>
      <c r="D79" s="50" t="str">
        <f t="shared" si="17"/>
        <v>Enter your pasture dry matter daily growth figure.</v>
      </c>
      <c r="E79" s="8"/>
      <c r="F79" s="57"/>
      <c r="G79" s="57"/>
      <c r="H79" s="54"/>
      <c r="I79" s="50" t="str">
        <f>I64</f>
        <v>Count and enter correct hay, silage &amp; grain figures</v>
      </c>
      <c r="J79" s="53" t="str">
        <f>J64</f>
        <v>m3 Silage</v>
      </c>
      <c r="K79" s="3"/>
      <c r="L79" s="3"/>
      <c r="M79" s="12"/>
      <c r="N79" s="28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</row>
    <row r="80" spans="1:28" ht="15" customHeight="1" x14ac:dyDescent="0.2">
      <c r="A80" s="50" t="str">
        <f>A65</f>
        <v>Cows/ha or acre</v>
      </c>
      <c r="B80" s="39">
        <f>(E81+F81+G81)/D78</f>
        <v>0</v>
      </c>
      <c r="C80" s="60"/>
      <c r="D80" s="50" t="str">
        <f t="shared" si="17"/>
        <v>Livestock Types</v>
      </c>
      <c r="E80" s="52" t="str">
        <f>E65</f>
        <v>Cows</v>
      </c>
      <c r="F80" s="52" t="str">
        <f>F65</f>
        <v>Fat Dries</v>
      </c>
      <c r="G80" s="52" t="str">
        <f>G65</f>
        <v>Thin Dries</v>
      </c>
      <c r="H80" s="52" t="str">
        <f>H65</f>
        <v>Yearlings</v>
      </c>
      <c r="I80" s="52" t="str">
        <f>I65</f>
        <v>Calves</v>
      </c>
      <c r="J80" s="37">
        <f>J71</f>
        <v>-38.75</v>
      </c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</row>
    <row r="81" spans="1:28" ht="15" customHeight="1" x14ac:dyDescent="0.2">
      <c r="A81" s="12"/>
      <c r="B81" s="56"/>
      <c r="C81" s="61"/>
      <c r="D81" s="50" t="str">
        <f t="shared" si="17"/>
        <v>Correct the average stock numbers for the month</v>
      </c>
      <c r="E81" s="8"/>
      <c r="F81" s="8"/>
      <c r="G81" s="8"/>
      <c r="H81" s="8"/>
      <c r="I81" s="8"/>
      <c r="J81" s="53" t="str">
        <f>J66</f>
        <v>Tonnes Grain</v>
      </c>
      <c r="K81" s="3"/>
      <c r="L81" s="75" t="s">
        <v>200</v>
      </c>
      <c r="M81" s="3"/>
      <c r="N81" s="3"/>
      <c r="O81" s="3"/>
      <c r="P81" s="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</row>
    <row r="82" spans="1:28" ht="15" customHeight="1" x14ac:dyDescent="0.2">
      <c r="A82" s="12"/>
      <c r="B82" s="3"/>
      <c r="C82" s="37"/>
      <c r="D82" s="50" t="str">
        <f t="shared" si="17"/>
        <v>Enter kg DM of hay/animal/day</v>
      </c>
      <c r="E82" s="8"/>
      <c r="F82" s="8"/>
      <c r="G82" s="8"/>
      <c r="H82" s="8"/>
      <c r="I82" s="8"/>
      <c r="J82" s="33">
        <f>J73</f>
        <v>0</v>
      </c>
      <c r="K82" s="3"/>
      <c r="L82" s="15">
        <v>1950</v>
      </c>
      <c r="M82" s="15">
        <v>1950</v>
      </c>
      <c r="N82" s="15">
        <v>1950</v>
      </c>
      <c r="O82" s="15">
        <v>1950</v>
      </c>
      <c r="P82" s="15">
        <v>2000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</row>
    <row r="83" spans="1:28" ht="15" customHeight="1" x14ac:dyDescent="0.2">
      <c r="A83" s="12"/>
      <c r="B83" s="3"/>
      <c r="C83" s="37"/>
      <c r="D83" s="50" t="str">
        <f t="shared" si="17"/>
        <v>Enter kg DM of silage/animal/day</v>
      </c>
      <c r="E83" s="8"/>
      <c r="F83" s="8"/>
      <c r="G83" s="8"/>
      <c r="H83" s="8"/>
      <c r="I83" s="8"/>
      <c r="J83" s="53" t="str">
        <f>J68</f>
        <v>20kg Bales Over</v>
      </c>
      <c r="K83" s="3"/>
      <c r="L83" s="45" t="s">
        <v>201</v>
      </c>
      <c r="M83" s="45" t="s">
        <v>202</v>
      </c>
      <c r="N83" s="45" t="s">
        <v>203</v>
      </c>
      <c r="O83" s="45" t="s">
        <v>204</v>
      </c>
      <c r="P83" s="45" t="s">
        <v>204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</row>
    <row r="84" spans="1:28" ht="15" customHeight="1" x14ac:dyDescent="0.2">
      <c r="A84" s="14"/>
      <c r="B84" s="14"/>
      <c r="C84" s="62"/>
      <c r="D84" s="50" t="str">
        <f t="shared" si="17"/>
        <v>Enter kg DM of pasture/animal/day</v>
      </c>
      <c r="E84" s="8"/>
      <c r="F84" s="8"/>
      <c r="G84" s="8"/>
      <c r="H84" s="8"/>
      <c r="I84" s="8"/>
      <c r="J84" s="37" t="e">
        <f>J78-((E81*E82)+(F81*F82)+(G81*G82)+(H81*H82)+(I81*I82))*B78/$L$3</f>
        <v>#VALUE!</v>
      </c>
      <c r="K84" s="3"/>
      <c r="L84" s="54">
        <v>300</v>
      </c>
      <c r="M84" s="37">
        <f>L84/2.2</f>
        <v>136.36363636363635</v>
      </c>
      <c r="N84" s="37">
        <f>M84*2.47</f>
        <v>336.81818181818181</v>
      </c>
      <c r="O84" s="37">
        <f>N84*1.75</f>
        <v>589.43181818181813</v>
      </c>
      <c r="P84" s="26">
        <v>1200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</row>
    <row r="85" spans="1:28" ht="15" customHeight="1" x14ac:dyDescent="0.2">
      <c r="A85" s="12"/>
      <c r="B85" s="3"/>
      <c r="C85" s="37"/>
      <c r="D85" s="50" t="str">
        <f t="shared" si="17"/>
        <v>Enter kg DM of grain/animal/day</v>
      </c>
      <c r="E85" s="8"/>
      <c r="F85" s="8"/>
      <c r="G85" s="8"/>
      <c r="H85" s="8"/>
      <c r="I85" s="8"/>
      <c r="J85" s="53" t="str">
        <f>J70</f>
        <v>m3 Silage Over</v>
      </c>
      <c r="K85" s="3"/>
      <c r="L85" s="3"/>
      <c r="M85" s="12"/>
      <c r="N85" s="28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</row>
    <row r="86" spans="1:28" ht="11.5" customHeight="1" x14ac:dyDescent="0.2">
      <c r="A86" s="12"/>
      <c r="B86" s="3"/>
      <c r="C86" s="37"/>
      <c r="D86" s="50" t="str">
        <f t="shared" si="17"/>
        <v>Total kg DM fed/animal/day</v>
      </c>
      <c r="E86" s="39">
        <f>E82+E83+E84+E85</f>
        <v>0</v>
      </c>
      <c r="F86" s="39">
        <f>F82+F83+F84+F85</f>
        <v>0</v>
      </c>
      <c r="G86" s="39">
        <f>G82+G83+G84+G85</f>
        <v>0</v>
      </c>
      <c r="H86" s="39">
        <f>H82+H83+H84+H85</f>
        <v>0</v>
      </c>
      <c r="I86" s="39">
        <f>I82+I83+I84+I85</f>
        <v>0</v>
      </c>
      <c r="J86" s="37">
        <f>J80-((E81*E83)+(F81*F83)+(G81*G83)+(H81*H83)+(I81*I83))*B78/$L$4</f>
        <v>-38.75</v>
      </c>
      <c r="K86" s="3"/>
      <c r="L86" s="3"/>
      <c r="M86" s="12"/>
      <c r="N86" s="28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</row>
    <row r="87" spans="1:28" ht="15" customHeight="1" x14ac:dyDescent="0.2">
      <c r="A87" s="12"/>
      <c r="B87" s="28"/>
      <c r="C87" s="50" t="s">
        <v>51</v>
      </c>
      <c r="D87" s="33">
        <f>D88/B78</f>
        <v>0</v>
      </c>
      <c r="E87" s="63" t="str">
        <f>E72</f>
        <v>kg pasture DM/kg MS</v>
      </c>
      <c r="F87" s="54"/>
      <c r="G87" s="54"/>
      <c r="H87" s="53" t="str">
        <f>H72</f>
        <v>Estim'd kg MS/cow/day</v>
      </c>
      <c r="I87" s="37"/>
      <c r="J87" s="53" t="str">
        <f>J72</f>
        <v>Grain Over</v>
      </c>
      <c r="K87" s="3"/>
      <c r="L87" s="3"/>
      <c r="M87" s="12"/>
      <c r="N87" s="28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</row>
    <row r="88" spans="1:28" ht="15" customHeight="1" x14ac:dyDescent="0.2">
      <c r="A88" s="31"/>
      <c r="B88" s="28"/>
      <c r="C88" s="50" t="s">
        <v>56</v>
      </c>
      <c r="D88" s="37">
        <f>(E81*B78*E82*$O$44/E88)+(E81*B78*E83*$Q$44/E88)+(E81*B78*E84*$S$44/E88)+(E81*B78*E85*$U$44/E88)</f>
        <v>0</v>
      </c>
      <c r="E88" s="26">
        <v>12</v>
      </c>
      <c r="F88" s="26"/>
      <c r="G88" s="26"/>
      <c r="H88" s="73">
        <v>0</v>
      </c>
      <c r="I88" s="28"/>
      <c r="J88" s="33">
        <f>J82-((E81*E85)+(F81*F85)+(G81*G85)+(H81*H85)+(I81*I85))*B78/1000</f>
        <v>0</v>
      </c>
      <c r="K88" s="3"/>
      <c r="L88" s="3"/>
      <c r="M88" s="12"/>
      <c r="N88" s="28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</row>
    <row r="89" spans="1:28" ht="15" customHeight="1" x14ac:dyDescent="0.2">
      <c r="A89" s="61"/>
      <c r="B89" s="50" t="str">
        <f>B74</f>
        <v>Cover/ha at end of month</v>
      </c>
      <c r="C89" s="43">
        <f>C77+((B78*E78*E79)-((E81*E84)+(F81*F84)+(G81*G84)+(H81*H84)+(I81*I84))*B78)/E78</f>
        <v>-21838</v>
      </c>
      <c r="D89" s="65" t="str">
        <f t="shared" ref="D89:J89" si="18">D74</f>
        <v>kg/ha</v>
      </c>
      <c r="E89" s="66" t="str">
        <f t="shared" si="18"/>
        <v>Pasture ha</v>
      </c>
      <c r="F89" s="66" t="str">
        <f t="shared" si="18"/>
        <v>kg DM hay</v>
      </c>
      <c r="G89" s="66" t="str">
        <f t="shared" si="18"/>
        <v>20 kg Bales</v>
      </c>
      <c r="H89" s="66" t="str">
        <f t="shared" si="18"/>
        <v>kgDM Silage</v>
      </c>
      <c r="I89" s="66" t="str">
        <f t="shared" si="18"/>
        <v>m3 Silage</v>
      </c>
      <c r="J89" s="53" t="str">
        <f t="shared" si="18"/>
        <v>Enter CS below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1:28" ht="15.25" customHeight="1" x14ac:dyDescent="0.2">
      <c r="A90" s="12"/>
      <c r="B90" s="3"/>
      <c r="C90" s="60"/>
      <c r="D90" s="50" t="str">
        <f>D75</f>
        <v>Excess or shortfall. Use any one</v>
      </c>
      <c r="E90" s="33" t="e">
        <f>((E78*E79*B78)-(((E81*E84)+(F81*F84)+(G81*G84)+(H81*H84)+(I81*I84))*B78))/B78/E79</f>
        <v>#DIV/0!</v>
      </c>
      <c r="F90" s="37">
        <f>((E78*E79*B78)-(((E81*E84)+(F81*F84)+(G81*G84)+(H81*H84)+(I81*I84))*B78))/B78</f>
        <v>0</v>
      </c>
      <c r="G90" s="37">
        <f>((E78*E79*B78)-(((E81*E84)+(F81*F84)+(G81*G84)+(H81*H84)+(I81*I84))*B78))/B78/$L$3</f>
        <v>0</v>
      </c>
      <c r="H90" s="37">
        <f>((E78*E79*B78)-(((E81*E84)+(F81*F84)+(G81*G84)+(H81*H84)+(I81*I84))*B78))/B78</f>
        <v>0</v>
      </c>
      <c r="I90" s="37">
        <f>((E78*E79*B78)-(((E81*E84)+(F81*F84)+(G81*G84)+(H81*H84)+(I81*I84))*B78))/B78/$L$4</f>
        <v>0</v>
      </c>
      <c r="J90" s="58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</row>
    <row r="91" spans="1:28" ht="15.2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</row>
    <row r="92" spans="1:28" ht="15.25" customHeight="1" x14ac:dyDescent="0.2">
      <c r="A92" s="50" t="str">
        <f>A77</f>
        <v>Enter cover/ha at 1</v>
      </c>
      <c r="B92" s="19" t="s">
        <v>135</v>
      </c>
      <c r="C92" s="51">
        <f>C89</f>
        <v>-21838</v>
      </c>
      <c r="D92" s="52" t="str">
        <f t="shared" ref="D92:J92" si="19">D77</f>
        <v>hectares</v>
      </c>
      <c r="E92" s="52" t="str">
        <f t="shared" si="19"/>
        <v>ha or acres</v>
      </c>
      <c r="F92" s="52" t="str">
        <f t="shared" si="19"/>
        <v>Crop ha/a</v>
      </c>
      <c r="G92" s="52" t="str">
        <f t="shared" si="19"/>
        <v>NewGrass ha/a</v>
      </c>
      <c r="H92" s="52" t="str">
        <f t="shared" si="19"/>
        <v>Other ha/a</v>
      </c>
      <c r="I92" s="52" t="str">
        <f t="shared" si="19"/>
        <v>Other ha/a</v>
      </c>
      <c r="J92" s="53" t="str">
        <f t="shared" si="19"/>
        <v># 20 kg Bales</v>
      </c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</row>
    <row r="93" spans="1:28" ht="15.25" customHeight="1" x14ac:dyDescent="0.2">
      <c r="A93" s="50" t="str">
        <f>A78</f>
        <v># of days in month</v>
      </c>
      <c r="B93" s="27">
        <v>30</v>
      </c>
      <c r="C93" s="28"/>
      <c r="D93" s="54">
        <f t="shared" ref="D93:D101" si="20">D78</f>
        <v>1</v>
      </c>
      <c r="E93" s="54">
        <f>D93-F93-G93-H93-I93</f>
        <v>1</v>
      </c>
      <c r="F93" s="8"/>
      <c r="G93" s="8"/>
      <c r="H93" s="8"/>
      <c r="I93" s="8"/>
      <c r="J93" s="37" t="e">
        <f>J84</f>
        <v>#VALUE!</v>
      </c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</row>
    <row r="94" spans="1:28" ht="15.25" customHeight="1" x14ac:dyDescent="0.2">
      <c r="A94" s="12"/>
      <c r="B94" s="56"/>
      <c r="C94" s="37"/>
      <c r="D94" s="50" t="str">
        <f t="shared" si="20"/>
        <v>Enter your pasture dry matter daily growth figure.</v>
      </c>
      <c r="E94" s="8"/>
      <c r="F94" s="57"/>
      <c r="G94" s="57"/>
      <c r="H94" s="54"/>
      <c r="I94" s="50" t="str">
        <f>I79</f>
        <v>Count and enter correct hay, silage &amp; grain figures</v>
      </c>
      <c r="J94" s="53" t="str">
        <f>J79</f>
        <v>m3 Silage</v>
      </c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</row>
    <row r="95" spans="1:28" ht="15.25" customHeight="1" x14ac:dyDescent="0.2">
      <c r="A95" s="50" t="str">
        <f>A80</f>
        <v>Cows/ha or acre</v>
      </c>
      <c r="B95" s="39">
        <f>(E96+F96+G96)/D93</f>
        <v>0</v>
      </c>
      <c r="C95" s="60"/>
      <c r="D95" s="50" t="str">
        <f t="shared" si="20"/>
        <v>Livestock Types</v>
      </c>
      <c r="E95" s="52" t="str">
        <f>E80</f>
        <v>Cows</v>
      </c>
      <c r="F95" s="52" t="str">
        <f>F80</f>
        <v>Fat Dries</v>
      </c>
      <c r="G95" s="52" t="str">
        <f>G80</f>
        <v>Thin Dries</v>
      </c>
      <c r="H95" s="52" t="str">
        <f>H80</f>
        <v>Yearlings</v>
      </c>
      <c r="I95" s="52" t="str">
        <f>I80</f>
        <v>Calves</v>
      </c>
      <c r="J95" s="37">
        <f>J86</f>
        <v>-38.75</v>
      </c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</row>
    <row r="96" spans="1:28" ht="15.25" customHeight="1" x14ac:dyDescent="0.2">
      <c r="A96" s="12"/>
      <c r="B96" s="56"/>
      <c r="C96" s="61"/>
      <c r="D96" s="50" t="str">
        <f t="shared" si="20"/>
        <v>Correct the average stock numbers for the month</v>
      </c>
      <c r="E96" s="8"/>
      <c r="F96" s="8"/>
      <c r="G96" s="8"/>
      <c r="H96" s="8"/>
      <c r="I96" s="8"/>
      <c r="J96" s="53" t="str">
        <f>J81</f>
        <v>Tonnes Grain</v>
      </c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</row>
    <row r="97" spans="1:28" ht="15.25" customHeight="1" x14ac:dyDescent="0.2">
      <c r="A97" s="12"/>
      <c r="B97" s="3"/>
      <c r="C97" s="37"/>
      <c r="D97" s="50" t="str">
        <f t="shared" si="20"/>
        <v>Enter kg DM of hay/animal/day</v>
      </c>
      <c r="E97" s="8"/>
      <c r="F97" s="8"/>
      <c r="G97" s="8"/>
      <c r="H97" s="8"/>
      <c r="I97" s="8"/>
      <c r="J97" s="33">
        <f>J88</f>
        <v>0</v>
      </c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</row>
    <row r="98" spans="1:28" ht="15.25" customHeight="1" x14ac:dyDescent="0.2">
      <c r="A98" s="12"/>
      <c r="B98" s="3"/>
      <c r="C98" s="37"/>
      <c r="D98" s="50" t="str">
        <f t="shared" si="20"/>
        <v>Enter kg DM of silage/animal/day</v>
      </c>
      <c r="E98" s="8"/>
      <c r="F98" s="8"/>
      <c r="G98" s="8"/>
      <c r="H98" s="8"/>
      <c r="I98" s="8"/>
      <c r="J98" s="53" t="str">
        <f>J83</f>
        <v>20kg Bales Over</v>
      </c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</row>
    <row r="99" spans="1:28" ht="15.25" customHeight="1" x14ac:dyDescent="0.2">
      <c r="A99" s="14"/>
      <c r="B99" s="14"/>
      <c r="C99" s="62"/>
      <c r="D99" s="50" t="str">
        <f t="shared" si="20"/>
        <v>Enter kg DM of pasture/animal/day</v>
      </c>
      <c r="E99" s="8"/>
      <c r="F99" s="8"/>
      <c r="G99" s="8"/>
      <c r="H99" s="8"/>
      <c r="I99" s="8"/>
      <c r="J99" s="37" t="e">
        <f>J93-((E96*E97)+(F96*F97)+(G96*G97)+(H96*H97)+(I96*I97))*B93/$L$3</f>
        <v>#VALUE!</v>
      </c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</row>
    <row r="100" spans="1:28" ht="15.25" customHeight="1" x14ac:dyDescent="0.2">
      <c r="A100" s="12"/>
      <c r="B100" s="3"/>
      <c r="C100" s="37"/>
      <c r="D100" s="50" t="str">
        <f t="shared" si="20"/>
        <v>Enter kg DM of grain/animal/day</v>
      </c>
      <c r="E100" s="8"/>
      <c r="F100" s="8"/>
      <c r="G100" s="8"/>
      <c r="H100" s="8"/>
      <c r="I100" s="8"/>
      <c r="J100" s="53" t="str">
        <f>J85</f>
        <v>m3 Silage Over</v>
      </c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</row>
    <row r="101" spans="1:28" ht="15.25" customHeight="1" x14ac:dyDescent="0.2">
      <c r="A101" s="12"/>
      <c r="B101" s="3"/>
      <c r="C101" s="37"/>
      <c r="D101" s="50" t="str">
        <f t="shared" si="20"/>
        <v>Total kg DM fed/animal/day</v>
      </c>
      <c r="E101" s="39">
        <f>E97+E98+E99+E100</f>
        <v>0</v>
      </c>
      <c r="F101" s="39">
        <f>F97+F98+F99+F100</f>
        <v>0</v>
      </c>
      <c r="G101" s="39">
        <f>G97+G98+G99+G100</f>
        <v>0</v>
      </c>
      <c r="H101" s="39">
        <f>H97+H98+H99+H100</f>
        <v>0</v>
      </c>
      <c r="I101" s="39">
        <f>I97+I98+I99+I100</f>
        <v>0</v>
      </c>
      <c r="J101" s="37">
        <f>J95-((E96*E98)+(F96*F98)+(G96*G98)+(H96*H98)+(I96*I98))*B93/$L$4</f>
        <v>-38.75</v>
      </c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</row>
    <row r="102" spans="1:28" ht="15.25" customHeight="1" x14ac:dyDescent="0.2">
      <c r="A102" s="12"/>
      <c r="B102" s="28"/>
      <c r="C102" s="50" t="s">
        <v>51</v>
      </c>
      <c r="D102" s="33">
        <f>D103/B93</f>
        <v>0</v>
      </c>
      <c r="E102" s="63" t="str">
        <f>E87</f>
        <v>kg pasture DM/kg MS</v>
      </c>
      <c r="F102" s="54"/>
      <c r="G102" s="54"/>
      <c r="H102" s="53" t="str">
        <f>H87</f>
        <v>Estim'd kg MS/cow/day</v>
      </c>
      <c r="I102" s="37"/>
      <c r="J102" s="53" t="str">
        <f>J87</f>
        <v>Grain Over</v>
      </c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</row>
    <row r="103" spans="1:28" ht="15.25" customHeight="1" x14ac:dyDescent="0.2">
      <c r="A103" s="31"/>
      <c r="B103" s="28"/>
      <c r="C103" s="50" t="s">
        <v>56</v>
      </c>
      <c r="D103" s="37">
        <f>(E96*B93*E97*$O$44/E103)+(E96*B93*E98*$Q$44/E103)+(E96*B93*E99*$S$44/E103)+(E96*B93*E100*$U$44/E103)</f>
        <v>0</v>
      </c>
      <c r="E103" s="54">
        <f>R37</f>
        <v>11</v>
      </c>
      <c r="F103" s="26"/>
      <c r="G103" s="26"/>
      <c r="H103" s="73">
        <v>0</v>
      </c>
      <c r="I103" s="28"/>
      <c r="J103" s="33">
        <f>J97-((E96*E100)+(F96*F100)+(G96*G100)+(H96*H100)+(I96*I100))*B93/1000</f>
        <v>0</v>
      </c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</row>
    <row r="104" spans="1:28" ht="15.25" customHeight="1" x14ac:dyDescent="0.2">
      <c r="A104" s="61"/>
      <c r="B104" s="50" t="str">
        <f>B89</f>
        <v>Cover/ha at end of month</v>
      </c>
      <c r="C104" s="43">
        <f>C92+((B93*E93*E94)-((E96*E99)+(F96*F99)+(G96*G99)+(H96*H99)+(I96*I99))*B93)/E93</f>
        <v>-21838</v>
      </c>
      <c r="D104" s="65" t="str">
        <f t="shared" ref="D104:J104" si="21">D89</f>
        <v>kg/ha</v>
      </c>
      <c r="E104" s="66" t="str">
        <f t="shared" si="21"/>
        <v>Pasture ha</v>
      </c>
      <c r="F104" s="66" t="str">
        <f t="shared" si="21"/>
        <v>kg DM hay</v>
      </c>
      <c r="G104" s="66" t="str">
        <f t="shared" si="21"/>
        <v>20 kg Bales</v>
      </c>
      <c r="H104" s="66" t="str">
        <f t="shared" si="21"/>
        <v>kgDM Silage</v>
      </c>
      <c r="I104" s="66" t="str">
        <f t="shared" si="21"/>
        <v>m3 Silage</v>
      </c>
      <c r="J104" s="53" t="str">
        <f t="shared" si="21"/>
        <v>Enter CS below</v>
      </c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</row>
    <row r="105" spans="1:28" ht="15.25" customHeight="1" x14ac:dyDescent="0.2">
      <c r="A105" s="12"/>
      <c r="B105" s="3"/>
      <c r="C105" s="60"/>
      <c r="D105" s="50" t="str">
        <f>D90</f>
        <v>Excess or shortfall. Use any one</v>
      </c>
      <c r="E105" s="33" t="e">
        <f>((E93*E94*B93)-(((E96*E99)+(F96*F99)+(G96*G99)+(H96*H99)+(I96*I99))*B93))/B93/E94</f>
        <v>#DIV/0!</v>
      </c>
      <c r="F105" s="37">
        <f>((E93*E94*B93)-(((E96*E99)+(F96*F99)+(G96*G99)+(H96*H99)+(I96*I99))*B93))/B93</f>
        <v>0</v>
      </c>
      <c r="G105" s="37">
        <f>((E93*E94*B93)-(((E96*E99)+(F96*F99)+(G96*G99)+(H96*H99)+(I96*I99))*B93))/B93/$L$3</f>
        <v>0</v>
      </c>
      <c r="H105" s="37">
        <f>((E93*E94*B93)-(((E96*E99)+(F96*F99)+(G96*G99)+(H96*H99)+(I96*I99))*B93))/B93</f>
        <v>0</v>
      </c>
      <c r="I105" s="37">
        <f>((E93*E94*B93)-(((E96*E99)+(F96*F99)+(G96*G99)+(H96*H99)+(I96*I99))*B93))/B93/$L$4</f>
        <v>0</v>
      </c>
      <c r="J105" s="58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</row>
    <row r="106" spans="1:28" ht="15.2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</row>
    <row r="107" spans="1:28" ht="15.25" customHeight="1" x14ac:dyDescent="0.2">
      <c r="A107" s="50" t="str">
        <f>A92</f>
        <v>Enter cover/ha at 1</v>
      </c>
      <c r="B107" s="19" t="s">
        <v>137</v>
      </c>
      <c r="C107" s="51">
        <f>C104</f>
        <v>-21838</v>
      </c>
      <c r="D107" s="52" t="str">
        <f t="shared" ref="D107:J107" si="22">D92</f>
        <v>hectares</v>
      </c>
      <c r="E107" s="52" t="str">
        <f t="shared" si="22"/>
        <v>ha or acres</v>
      </c>
      <c r="F107" s="52" t="str">
        <f t="shared" si="22"/>
        <v>Crop ha/a</v>
      </c>
      <c r="G107" s="52" t="str">
        <f t="shared" si="22"/>
        <v>NewGrass ha/a</v>
      </c>
      <c r="H107" s="52" t="str">
        <f t="shared" si="22"/>
        <v>Other ha/a</v>
      </c>
      <c r="I107" s="52" t="str">
        <f t="shared" si="22"/>
        <v>Other ha/a</v>
      </c>
      <c r="J107" s="53" t="str">
        <f t="shared" si="22"/>
        <v># 20 kg Bales</v>
      </c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</row>
    <row r="108" spans="1:28" ht="15.25" customHeight="1" x14ac:dyDescent="0.2">
      <c r="A108" s="50" t="str">
        <f>A93</f>
        <v># of days in month</v>
      </c>
      <c r="B108" s="27">
        <v>31</v>
      </c>
      <c r="C108" s="28"/>
      <c r="D108" s="54">
        <f t="shared" ref="D108:D116" si="23">D93</f>
        <v>1</v>
      </c>
      <c r="E108" s="54">
        <f>D108-F108-G108-H108-I108</f>
        <v>1</v>
      </c>
      <c r="F108" s="8"/>
      <c r="G108" s="8"/>
      <c r="H108" s="8"/>
      <c r="I108" s="8"/>
      <c r="J108" s="37" t="e">
        <f>J99</f>
        <v>#VALUE!</v>
      </c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</row>
    <row r="109" spans="1:28" ht="15.25" customHeight="1" x14ac:dyDescent="0.2">
      <c r="A109" s="12"/>
      <c r="B109" s="56"/>
      <c r="C109" s="37"/>
      <c r="D109" s="50" t="str">
        <f t="shared" si="23"/>
        <v>Enter your pasture dry matter daily growth figure.</v>
      </c>
      <c r="E109" s="8"/>
      <c r="F109" s="57"/>
      <c r="G109" s="57"/>
      <c r="H109" s="54"/>
      <c r="I109" s="50" t="str">
        <f>I94</f>
        <v>Count and enter correct hay, silage &amp; grain figures</v>
      </c>
      <c r="J109" s="53" t="str">
        <f>J94</f>
        <v>m3 Silage</v>
      </c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</row>
    <row r="110" spans="1:28" ht="15.25" customHeight="1" x14ac:dyDescent="0.2">
      <c r="A110" s="50" t="str">
        <f>A95</f>
        <v>Cows/ha or acre</v>
      </c>
      <c r="B110" s="39">
        <f>(E111+F111+G111)/D108</f>
        <v>0</v>
      </c>
      <c r="C110" s="60"/>
      <c r="D110" s="50" t="str">
        <f t="shared" si="23"/>
        <v>Livestock Types</v>
      </c>
      <c r="E110" s="52" t="str">
        <f>E95</f>
        <v>Cows</v>
      </c>
      <c r="F110" s="52" t="str">
        <f>F95</f>
        <v>Fat Dries</v>
      </c>
      <c r="G110" s="52" t="str">
        <f>G95</f>
        <v>Thin Dries</v>
      </c>
      <c r="H110" s="52" t="str">
        <f>H95</f>
        <v>Yearlings</v>
      </c>
      <c r="I110" s="52" t="str">
        <f>I95</f>
        <v>Calves</v>
      </c>
      <c r="J110" s="37">
        <f>J101</f>
        <v>-38.75</v>
      </c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</row>
    <row r="111" spans="1:28" ht="15.25" customHeight="1" x14ac:dyDescent="0.2">
      <c r="A111" s="12"/>
      <c r="B111" s="56"/>
      <c r="C111" s="61"/>
      <c r="D111" s="50" t="str">
        <f t="shared" si="23"/>
        <v>Correct the average stock numbers for the month</v>
      </c>
      <c r="E111" s="8"/>
      <c r="F111" s="8"/>
      <c r="G111" s="8"/>
      <c r="H111" s="8"/>
      <c r="I111" s="8"/>
      <c r="J111" s="53" t="str">
        <f>J96</f>
        <v>Tonnes Grain</v>
      </c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</row>
    <row r="112" spans="1:28" ht="15.25" customHeight="1" x14ac:dyDescent="0.2">
      <c r="A112" s="12"/>
      <c r="B112" s="3"/>
      <c r="C112" s="37"/>
      <c r="D112" s="50" t="str">
        <f t="shared" si="23"/>
        <v>Enter kg DM of hay/animal/day</v>
      </c>
      <c r="E112" s="8"/>
      <c r="F112" s="8"/>
      <c r="G112" s="8"/>
      <c r="H112" s="8"/>
      <c r="I112" s="8"/>
      <c r="J112" s="33">
        <f>J103</f>
        <v>0</v>
      </c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</row>
    <row r="113" spans="1:28" ht="15.25" customHeight="1" x14ac:dyDescent="0.2">
      <c r="A113" s="12"/>
      <c r="B113" s="3"/>
      <c r="C113" s="37"/>
      <c r="D113" s="50" t="str">
        <f t="shared" si="23"/>
        <v>Enter kg DM of silage/animal/day</v>
      </c>
      <c r="E113" s="8"/>
      <c r="F113" s="8"/>
      <c r="G113" s="8"/>
      <c r="H113" s="8"/>
      <c r="I113" s="8"/>
      <c r="J113" s="53" t="str">
        <f>J98</f>
        <v>20kg Bales Over</v>
      </c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</row>
    <row r="114" spans="1:28" ht="15.25" customHeight="1" x14ac:dyDescent="0.2">
      <c r="A114" s="14"/>
      <c r="B114" s="14"/>
      <c r="C114" s="62"/>
      <c r="D114" s="50" t="str">
        <f t="shared" si="23"/>
        <v>Enter kg DM of pasture/animal/day</v>
      </c>
      <c r="E114" s="8"/>
      <c r="F114" s="8"/>
      <c r="G114" s="8"/>
      <c r="H114" s="8"/>
      <c r="I114" s="8"/>
      <c r="J114" s="37" t="e">
        <f>J108-((E111*E112)+(F111*F112)+(G111*G112)+(H111*H112)+(I111*I112))*B108/$L$3</f>
        <v>#VALUE!</v>
      </c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</row>
    <row r="115" spans="1:28" ht="15.25" customHeight="1" x14ac:dyDescent="0.2">
      <c r="A115" s="12"/>
      <c r="B115" s="3"/>
      <c r="C115" s="37"/>
      <c r="D115" s="50" t="str">
        <f t="shared" si="23"/>
        <v>Enter kg DM of grain/animal/day</v>
      </c>
      <c r="E115" s="8"/>
      <c r="F115" s="8"/>
      <c r="G115" s="8"/>
      <c r="H115" s="8"/>
      <c r="I115" s="8"/>
      <c r="J115" s="53" t="str">
        <f>J100</f>
        <v>m3 Silage Over</v>
      </c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</row>
    <row r="116" spans="1:28" ht="15.25" customHeight="1" x14ac:dyDescent="0.2">
      <c r="A116" s="12"/>
      <c r="B116" s="3"/>
      <c r="C116" s="37"/>
      <c r="D116" s="50" t="str">
        <f t="shared" si="23"/>
        <v>Total kg DM fed/animal/day</v>
      </c>
      <c r="E116" s="73">
        <f>E112+E113+E114+E115</f>
        <v>0</v>
      </c>
      <c r="F116" s="73">
        <f>F112+F113+F114+F115</f>
        <v>0</v>
      </c>
      <c r="G116" s="73">
        <f>G112+G113+G114+G115</f>
        <v>0</v>
      </c>
      <c r="H116" s="73">
        <f>H112+H113+H114+H115</f>
        <v>0</v>
      </c>
      <c r="I116" s="73">
        <f>I112+I113+I114+I115</f>
        <v>0</v>
      </c>
      <c r="J116" s="37">
        <f>J110-((E111*E113)+(F111*F113)+(G111*G113)+(H111*H113)+(I111*I113))*B108/$L$4</f>
        <v>-38.75</v>
      </c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</row>
    <row r="117" spans="1:28" ht="15.25" customHeight="1" x14ac:dyDescent="0.2">
      <c r="A117" s="12"/>
      <c r="B117" s="28"/>
      <c r="C117" s="50" t="s">
        <v>51</v>
      </c>
      <c r="D117" s="33">
        <f>D118/B108</f>
        <v>0</v>
      </c>
      <c r="E117" s="63" t="str">
        <f>E102</f>
        <v>kg pasture DM/kg MS</v>
      </c>
      <c r="F117" s="54"/>
      <c r="G117" s="54"/>
      <c r="H117" s="53" t="str">
        <f>H102</f>
        <v>Estim'd kg MS/cow/day</v>
      </c>
      <c r="I117" s="37"/>
      <c r="J117" s="53" t="str">
        <f>J102</f>
        <v>Grain Over</v>
      </c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</row>
    <row r="118" spans="1:28" ht="15.25" customHeight="1" x14ac:dyDescent="0.2">
      <c r="A118" s="31"/>
      <c r="B118" s="28"/>
      <c r="C118" s="50" t="s">
        <v>56</v>
      </c>
      <c r="D118" s="37">
        <f>(E111*B108*E112*$O$44/E118)+(E111*B108*E113*$Q$44/E118)+(E111*B108*E114*$S$44/E118)+(E111*B108*E115*$U$44/E118)</f>
        <v>0</v>
      </c>
      <c r="E118" s="26">
        <v>12</v>
      </c>
      <c r="F118" s="26"/>
      <c r="G118" s="26"/>
      <c r="H118" s="73">
        <v>0</v>
      </c>
      <c r="I118" s="28"/>
      <c r="J118" s="33">
        <f>J112-((E111*E115)+(F111*F115)+(G111*G115)+(H111*H115)+(I111*I115))*B108/1000</f>
        <v>0</v>
      </c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</row>
    <row r="119" spans="1:28" ht="15.25" customHeight="1" x14ac:dyDescent="0.2">
      <c r="A119" s="61"/>
      <c r="B119" s="50" t="str">
        <f>B104</f>
        <v>Cover/ha at end of month</v>
      </c>
      <c r="C119" s="43">
        <f>C107+((B108*E108*E109)-((E111*E114)+(F111*F114)+(G111*G114)+(H111*H114)+(I111*I114))*B108)/E108</f>
        <v>-21838</v>
      </c>
      <c r="D119" s="65" t="str">
        <f t="shared" ref="D119:J119" si="24">D104</f>
        <v>kg/ha</v>
      </c>
      <c r="E119" s="66" t="str">
        <f t="shared" si="24"/>
        <v>Pasture ha</v>
      </c>
      <c r="F119" s="66" t="str">
        <f t="shared" si="24"/>
        <v>kg DM hay</v>
      </c>
      <c r="G119" s="66" t="str">
        <f t="shared" si="24"/>
        <v>20 kg Bales</v>
      </c>
      <c r="H119" s="66" t="str">
        <f t="shared" si="24"/>
        <v>kgDM Silage</v>
      </c>
      <c r="I119" s="66" t="str">
        <f t="shared" si="24"/>
        <v>m3 Silage</v>
      </c>
      <c r="J119" s="53" t="str">
        <f t="shared" si="24"/>
        <v>Enter CS below</v>
      </c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</row>
    <row r="120" spans="1:28" ht="14.5" customHeight="1" x14ac:dyDescent="0.2">
      <c r="A120" s="12"/>
      <c r="B120" s="3"/>
      <c r="C120" s="60"/>
      <c r="D120" s="50" t="str">
        <f>D105</f>
        <v>Excess or shortfall. Use any one</v>
      </c>
      <c r="E120" s="33" t="e">
        <f>((E108*E109*B108)-(((E111*E114)+(F111*F114)+(G111*G114)+(H111*H114)+(I111*I114))*B108))/B108/E109</f>
        <v>#DIV/0!</v>
      </c>
      <c r="F120" s="37">
        <f>((E108*E109*B108)-(((E111*E114)+(F111*F114)+(G111*G114)+(H111*H114)+(I111*I114))*B108))/B108</f>
        <v>0</v>
      </c>
      <c r="G120" s="37">
        <f>((E108*E109*B108)-(((E111*E114)+(F111*F114)+(G111*G114)+(H111*H114)+(I111*I114))*B108))/B108/$L$3</f>
        <v>0</v>
      </c>
      <c r="H120" s="37">
        <f>((E108*E109*B108)-(((E111*E114)+(F111*F114)+(G111*G114)+(H111*H114)+(I111*I114))*B108))/B108</f>
        <v>0</v>
      </c>
      <c r="I120" s="37">
        <f>((E108*E109*B108)-(((E111*E114)+(F111*F114)+(G111*G114)+(H111*H114)+(I111*I114))*B108))/B108/$L$4</f>
        <v>0</v>
      </c>
      <c r="J120" s="91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7" customHeight="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</row>
    <row r="122" spans="1:28" ht="17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55" t="s">
        <v>205</v>
      </c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</row>
    <row r="123" spans="1:28" ht="17" customHeight="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</row>
    <row r="124" spans="1:28" ht="17" customHeight="1" x14ac:dyDescent="0.2">
      <c r="A124" s="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</row>
    <row r="125" spans="1:28" ht="17" customHeight="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44" t="s">
        <v>206</v>
      </c>
      <c r="M125" s="44" t="s">
        <v>207</v>
      </c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</row>
  </sheetData>
  <pageMargins left="0.31" right="0.31" top="0.31" bottom="0.31" header="0.5" footer="0.5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DairyFeedBudget kg 0001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2017-02-24T22:31:19Z</dcterms:modified>
</cp:coreProperties>
</file>