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31080" windowHeight="17540"/>
  </bookViews>
  <sheets>
    <sheet name="Invoice VaughanJones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0" i="1" l="1"/>
  <c r="D61" i="1"/>
  <c r="F61" i="1"/>
  <c r="F17" i="1"/>
  <c r="E17" i="1"/>
  <c r="D8" i="1"/>
  <c r="I60" i="1"/>
  <c r="C60" i="1"/>
  <c r="C46" i="1"/>
  <c r="C47" i="1"/>
  <c r="C48" i="1"/>
  <c r="C49" i="1"/>
  <c r="C50" i="1"/>
  <c r="C51" i="1"/>
  <c r="D20" i="1"/>
  <c r="D24" i="1"/>
  <c r="D27" i="1"/>
  <c r="D28" i="1"/>
  <c r="D29" i="1"/>
  <c r="D9" i="1"/>
  <c r="C29" i="1"/>
  <c r="C33" i="1"/>
  <c r="C34" i="1"/>
  <c r="C35" i="1"/>
  <c r="C36" i="1"/>
  <c r="C37" i="1"/>
  <c r="C38" i="1"/>
  <c r="C39" i="1"/>
  <c r="C40" i="1"/>
  <c r="C41" i="1"/>
  <c r="C42" i="1"/>
  <c r="C52" i="1"/>
  <c r="F57" i="1"/>
  <c r="F60" i="1"/>
  <c r="H60" i="1"/>
  <c r="C59" i="1"/>
  <c r="F59" i="1"/>
  <c r="F58" i="1"/>
  <c r="F6" i="1"/>
  <c r="F8" i="1"/>
  <c r="F7" i="1"/>
  <c r="F11" i="1"/>
  <c r="F12" i="1"/>
  <c r="F13" i="1"/>
  <c r="F14" i="1"/>
  <c r="F15" i="1"/>
  <c r="D33" i="1"/>
  <c r="D34" i="1"/>
  <c r="D35" i="1"/>
  <c r="D36" i="1"/>
  <c r="D37" i="1"/>
  <c r="D38" i="1"/>
  <c r="D39" i="1"/>
  <c r="D40" i="1"/>
  <c r="D41" i="1"/>
  <c r="D42" i="1"/>
  <c r="E42" i="1"/>
  <c r="F42" i="1"/>
  <c r="F9" i="1"/>
  <c r="F46" i="1"/>
  <c r="F47" i="1"/>
  <c r="F48" i="1"/>
  <c r="F49" i="1"/>
  <c r="F50" i="1"/>
  <c r="F51" i="1"/>
  <c r="F52" i="1"/>
  <c r="F54" i="1"/>
  <c r="C55" i="1"/>
  <c r="F55" i="1"/>
  <c r="F56" i="1"/>
  <c r="E6" i="1"/>
  <c r="E8" i="1"/>
  <c r="E7" i="1"/>
  <c r="E11" i="1"/>
  <c r="E12" i="1"/>
  <c r="E13" i="1"/>
  <c r="E14" i="1"/>
  <c r="E15" i="1"/>
  <c r="E9" i="1"/>
  <c r="E46" i="1"/>
  <c r="E47" i="1"/>
  <c r="E48" i="1"/>
  <c r="E49" i="1"/>
  <c r="E50" i="1"/>
  <c r="E51" i="1"/>
  <c r="E52" i="1"/>
  <c r="E54" i="1"/>
  <c r="E55" i="1"/>
  <c r="E56" i="1"/>
  <c r="D12" i="1"/>
  <c r="D13" i="1"/>
  <c r="D14" i="1"/>
  <c r="D15" i="1"/>
  <c r="D46" i="1"/>
  <c r="D47" i="1"/>
  <c r="D48" i="1"/>
  <c r="D49" i="1"/>
  <c r="D50" i="1"/>
  <c r="D51" i="1"/>
  <c r="D52" i="1"/>
  <c r="D54" i="1"/>
  <c r="D55" i="1"/>
  <c r="D56" i="1"/>
  <c r="F53" i="1"/>
  <c r="E53" i="1"/>
  <c r="D53" i="1"/>
  <c r="C15" i="1"/>
  <c r="C53" i="1"/>
  <c r="F43" i="1"/>
  <c r="F44" i="1"/>
  <c r="E43" i="1"/>
  <c r="E44" i="1"/>
  <c r="D43" i="1"/>
  <c r="D44" i="1"/>
  <c r="F33" i="1"/>
  <c r="F34" i="1"/>
  <c r="F35" i="1"/>
  <c r="F36" i="1"/>
  <c r="F37" i="1"/>
  <c r="F38" i="1"/>
  <c r="F39" i="1"/>
  <c r="F40" i="1"/>
  <c r="F41" i="1"/>
  <c r="E33" i="1"/>
  <c r="E34" i="1"/>
  <c r="E35" i="1"/>
  <c r="E36" i="1"/>
  <c r="E37" i="1"/>
  <c r="E38" i="1"/>
  <c r="E39" i="1"/>
  <c r="E40" i="1"/>
  <c r="E41" i="1"/>
  <c r="B41" i="1"/>
  <c r="K33" i="1"/>
  <c r="K35" i="1"/>
  <c r="L35" i="1"/>
  <c r="I35" i="1"/>
  <c r="M35" i="1"/>
  <c r="K34" i="1"/>
  <c r="L34" i="1"/>
  <c r="I34" i="1"/>
  <c r="M34" i="1"/>
  <c r="L33" i="1"/>
  <c r="M33" i="1"/>
  <c r="E32" i="1"/>
  <c r="F32" i="1"/>
  <c r="F30" i="1"/>
  <c r="E30" i="1"/>
  <c r="F31" i="1"/>
  <c r="D30" i="1"/>
  <c r="E31" i="1"/>
  <c r="P29" i="1"/>
  <c r="F18" i="1"/>
  <c r="F19" i="1"/>
  <c r="F20" i="1"/>
  <c r="F21" i="1"/>
  <c r="F22" i="1"/>
  <c r="F23" i="1"/>
  <c r="F24" i="1"/>
  <c r="F25" i="1"/>
  <c r="F26" i="1"/>
  <c r="F27" i="1"/>
  <c r="F28" i="1"/>
  <c r="F29" i="1"/>
  <c r="E18" i="1"/>
  <c r="E19" i="1"/>
  <c r="E20" i="1"/>
  <c r="E21" i="1"/>
  <c r="E22" i="1"/>
  <c r="E23" i="1"/>
  <c r="E24" i="1"/>
  <c r="E25" i="1"/>
  <c r="E26" i="1"/>
  <c r="E27" i="1"/>
  <c r="E28" i="1"/>
  <c r="E29" i="1"/>
  <c r="S28" i="1"/>
  <c r="P28" i="1"/>
  <c r="P27" i="1"/>
  <c r="P26" i="1"/>
  <c r="P25" i="1"/>
  <c r="P23" i="1"/>
  <c r="P22" i="1"/>
  <c r="P21" i="1"/>
  <c r="K15" i="1"/>
  <c r="M15" i="1"/>
  <c r="M19" i="1"/>
  <c r="M21" i="1"/>
  <c r="K19" i="1"/>
  <c r="K21" i="1"/>
  <c r="I19" i="1"/>
  <c r="I21" i="1"/>
  <c r="P20" i="1"/>
  <c r="P19" i="1"/>
  <c r="P18" i="1"/>
  <c r="P17" i="1"/>
  <c r="K16" i="1"/>
  <c r="I16" i="1"/>
  <c r="J12" i="1"/>
  <c r="K12" i="1"/>
  <c r="L12" i="1"/>
  <c r="M12" i="1"/>
  <c r="M13" i="1"/>
  <c r="B12" i="1"/>
  <c r="F10" i="1"/>
  <c r="E10" i="1"/>
  <c r="D10" i="1"/>
  <c r="L9" i="1"/>
  <c r="M9" i="1"/>
</calcChain>
</file>

<file path=xl/sharedStrings.xml><?xml version="1.0" encoding="utf-8"?>
<sst xmlns="http://schemas.openxmlformats.org/spreadsheetml/2006/main" count="232" uniqueCount="201">
  <si>
    <t>Dairy cow numbers for max profit</t>
  </si>
  <si>
    <t>AgResearch Ruakura checked my figures in Oct 1991 and said that the production/cow would increase by even more -</t>
  </si>
  <si>
    <t xml:space="preserve">If the spreadsheet is too big for your screen go Window Zoom Window. </t>
  </si>
  <si>
    <t xml:space="preserve">Assuming conditions and growths are similar. </t>
  </si>
  <si>
    <t>Enter effective hectares &gt;</t>
  </si>
  <si>
    <t xml:space="preserve"> than those I’ve used. Lincoln University in January 2013 approved and recommended it.</t>
  </si>
  <si>
    <t>Instructions are in red. Don’t type in blue cells, they contain formulae.</t>
  </si>
  <si>
    <t>Breed</t>
  </si>
  <si>
    <t>Cows next year</t>
  </si>
  <si>
    <t>* If increase cows by</t>
  </si>
  <si>
    <t>production/cow down</t>
  </si>
  <si>
    <t>Use this % figure or adjust it to suit your farm.</t>
  </si>
  <si>
    <t>Enter yours in yellow cells.</t>
  </si>
  <si>
    <t>Cow value &gt;</t>
  </si>
  <si>
    <t>If increase by</t>
  </si>
  <si>
    <t>If decrease by</t>
  </si>
  <si>
    <t xml:space="preserve">Enter cow breed and value. </t>
  </si>
  <si>
    <t>**  If decrease cows by</t>
  </si>
  <si>
    <t>production/cow up</t>
  </si>
  <si>
    <t>Adjust this % figure to suit your farm.</t>
  </si>
  <si>
    <t xml:space="preserve"> USA enter milk in pounds, area in acres.</t>
  </si>
  <si>
    <t>Last Year</t>
  </si>
  <si>
    <t xml:space="preserve">See "Read First" in Spreadsheets before proceeding. </t>
  </si>
  <si>
    <t>Max # of cows milked</t>
  </si>
  <si>
    <t>conversion rate acres/ha</t>
  </si>
  <si>
    <t>Total kg milk solids (MS)</t>
  </si>
  <si>
    <t>Enter MS in D11 only.</t>
  </si>
  <si>
    <t>If grain is fed production should be higher, but profit will be lower.</t>
  </si>
  <si>
    <t xml:space="preserve">Farmers, sharemilkers &amp; country all profit </t>
  </si>
  <si>
    <t>Milk solids/cow</t>
  </si>
  <si>
    <t xml:space="preserve">Aim for at least 350 kg MS/cow average in a normal aged herd, from good clover &amp; grass pasture. </t>
  </si>
  <si>
    <t># Cows</t>
  </si>
  <si>
    <t>Milk Solids</t>
  </si>
  <si>
    <t>MS/Cow</t>
  </si>
  <si>
    <t>MF/cow</t>
  </si>
  <si>
    <t>Conversion</t>
  </si>
  <si>
    <t>from milking the correct number of cows.</t>
  </si>
  <si>
    <t>Cows/ha</t>
  </si>
  <si>
    <t>NZ average in 00/01</t>
  </si>
  <si>
    <t>Are you? In droughts this is critical.</t>
  </si>
  <si>
    <t>Milk solids/ha</t>
  </si>
  <si>
    <t>Calculation of production difference to warrant culling cows.</t>
  </si>
  <si>
    <t>Next season's payout in $/kg MS</t>
  </si>
  <si>
    <t>Enter payout in D11 only</t>
  </si>
  <si>
    <t>Cull Value</t>
  </si>
  <si>
    <t>New Cow Cost</t>
  </si>
  <si>
    <t>Difference</t>
  </si>
  <si>
    <t>$/kg MS</t>
  </si>
  <si>
    <t>kg MS</t>
  </si>
  <si>
    <t>Income per cow &gt;</t>
  </si>
  <si>
    <t>Milk gross income</t>
  </si>
  <si>
    <t xml:space="preserve">kg extra MS/replacemtn/year necessary to pay for culling and replacing over 2 years. </t>
  </si>
  <si>
    <t>Calf sale price</t>
  </si>
  <si>
    <t>Enter week old calf price in C13 only</t>
  </si>
  <si>
    <t>kg extra MS/replacemtn/year necessary allowing for better calves and increased future production.</t>
  </si>
  <si>
    <t>Milk and calf gross incomes &amp; changes</t>
  </si>
  <si>
    <t xml:space="preserve">Change the litre, MF and/or MS figures below to match your pasture quality and management. </t>
  </si>
  <si>
    <t>Conversion of costs on left to US $ for comparison</t>
  </si>
  <si>
    <t>Milk &amp; calf gross/ha in C15 /cowin D15</t>
  </si>
  <si>
    <t>kg pasture DM produces</t>
  </si>
  <si>
    <t>litre of milk</t>
  </si>
  <si>
    <t>kg MF</t>
  </si>
  <si>
    <t>US to NZ exchange rate</t>
  </si>
  <si>
    <t>Costs in</t>
  </si>
  <si>
    <t>Running costs to keep a cow for a year</t>
  </si>
  <si>
    <t>Cost/cow pa</t>
  </si>
  <si>
    <r>
      <rPr>
        <b/>
        <sz val="12"/>
        <color indexed="8"/>
        <rFont val="Times New Roman"/>
      </rPr>
      <t xml:space="preserve">           </t>
    </r>
    <r>
      <rPr>
        <b/>
        <sz val="14"/>
        <color indexed="8"/>
        <rFont val="Times New Roman"/>
      </rPr>
      <t>Change per annum</t>
    </r>
  </si>
  <si>
    <t>1993/94</t>
  </si>
  <si>
    <t>Item</t>
  </si>
  <si>
    <t>US$/Cow/Yr</t>
  </si>
  <si>
    <t>cents/kg MS</t>
  </si>
  <si>
    <t>If different, enter your figures in Row D.</t>
  </si>
  <si>
    <t>AB</t>
  </si>
  <si>
    <t>Enter costs in col D only</t>
  </si>
  <si>
    <t>DM Consumed</t>
  </si>
  <si>
    <t>Animal Health</t>
  </si>
  <si>
    <t>Administration</t>
  </si>
  <si>
    <t>If higher than in Row C, investigate why.</t>
  </si>
  <si>
    <t>Herd Testing</t>
  </si>
  <si>
    <t>kg/farm/year</t>
  </si>
  <si>
    <t>AI</t>
  </si>
  <si>
    <t>Debt reduction</t>
  </si>
  <si>
    <t>Animal Health &amp; minerals: $28 to $90</t>
  </si>
  <si>
    <t>Herd testing</t>
  </si>
  <si>
    <t>Drawings - living</t>
  </si>
  <si>
    <t>Pasture at 20c/kg DM fed at 8 kg/day per annum for maintenance</t>
  </si>
  <si>
    <t>kg/ha/year</t>
  </si>
  <si>
    <t>Feed Conservation</t>
  </si>
  <si>
    <t>Fert, Feed, AI, HT, Health, etc.</t>
  </si>
  <si>
    <t>Nitrogen, Silage, Hay, Crops</t>
  </si>
  <si>
    <t>Grain</t>
  </si>
  <si>
    <t>Interest</t>
  </si>
  <si>
    <t>Enter your concentrates, grain, PKE, etc., per cow per annum</t>
  </si>
  <si>
    <t>Average kg MS/kg DM</t>
  </si>
  <si>
    <t xml:space="preserve"> </t>
  </si>
  <si>
    <t>Milking</t>
  </si>
  <si>
    <t>Income tax</t>
  </si>
  <si>
    <t>Milking, water, effluent spreading (Not water heater)</t>
  </si>
  <si>
    <t>Water</t>
  </si>
  <si>
    <t>Labour</t>
  </si>
  <si>
    <t>Net land cost per cow without buildings</t>
  </si>
  <si>
    <t>Enter costs in col C yellow only NOT col D</t>
  </si>
  <si>
    <t>Lanes, pasture renovation, weeds. These increase with cow numbers.</t>
  </si>
  <si>
    <t>Lanes &amp; Pasture</t>
  </si>
  <si>
    <t>Plant replacement</t>
  </si>
  <si>
    <t>Extra Time</t>
  </si>
  <si>
    <t>Repairs &amp; Maintenance</t>
  </si>
  <si>
    <t>6% interest &amp; 1% losses =</t>
  </si>
  <si>
    <t>Enter your interest rate plus 1% for losses in C26.</t>
  </si>
  <si>
    <t>Rearing Replacements</t>
  </si>
  <si>
    <t>Vehicle</t>
  </si>
  <si>
    <t>Average losses per cow - 5 lactations</t>
  </si>
  <si>
    <t>Enter your average cull price in B28 and average culling rate in C28.</t>
  </si>
  <si>
    <t>Interest &amp; Losses</t>
  </si>
  <si>
    <t>Payout/kg MS</t>
  </si>
  <si>
    <t>Cost per ha pa is in C29. Cost per cow is in D29.</t>
  </si>
  <si>
    <t>Cols E and F are the changes in profit or loss. Do not type over.</t>
  </si>
  <si>
    <t>Total running costs/cow</t>
  </si>
  <si>
    <t>Milk producing income per cow in D30 &amp; changes per annum in E &amp; F 30.</t>
  </si>
  <si>
    <t xml:space="preserve">This is not exact for all farms, because of so many variations, but is a guide. </t>
  </si>
  <si>
    <t>Figures are based on 190 cows milked by one person.</t>
  </si>
  <si>
    <t xml:space="preserve">Variable Farm Costs not affected by changing cow numbers   </t>
  </si>
  <si>
    <t>Profit Loss</t>
  </si>
  <si>
    <t>Stocking rate at</t>
  </si>
  <si>
    <t>kg liveweight per 1,000 kg pasture DM pa.</t>
  </si>
  <si>
    <t xml:space="preserve">Individual cows have produced 630 kg ms or 9,000 litres from pasture alone. . </t>
  </si>
  <si>
    <t xml:space="preserve">Enter your per annum figures </t>
  </si>
  <si>
    <t>/ha</t>
  </si>
  <si>
    <t>/cow pa</t>
  </si>
  <si>
    <t>kg/cow</t>
  </si>
  <si>
    <t>tonnes DM</t>
  </si>
  <si>
    <t>Ratio</t>
  </si>
  <si>
    <t>Sum</t>
  </si>
  <si>
    <t>Fertilizers other than N</t>
  </si>
  <si>
    <t>Enter yours in column B</t>
  </si>
  <si>
    <t>Yields of milk in kilograms are approximately 3% higher than those in litres</t>
  </si>
  <si>
    <t>LimeMag mix</t>
  </si>
  <si>
    <t>because milk is lighter than water.</t>
  </si>
  <si>
    <t>Seeds</t>
  </si>
  <si>
    <t>Buildings&amp;Machinery R&amp;M</t>
  </si>
  <si>
    <t>Vehicles &amp; Fuel</t>
  </si>
  <si>
    <t>All are NZ$. For your exchange rate click -</t>
  </si>
  <si>
    <t>Water heater</t>
  </si>
  <si>
    <r>
      <rPr>
        <u/>
        <sz val="10"/>
        <color indexed="16"/>
        <rFont val="Geneva"/>
      </rPr>
      <t>www.x-rates.com/calculator.html</t>
    </r>
  </si>
  <si>
    <t>Forage crops</t>
  </si>
  <si>
    <t>Other</t>
  </si>
  <si>
    <t>Totals</t>
  </si>
  <si>
    <t>Running &amp; Variable Costs/ha &amp;/cow</t>
  </si>
  <si>
    <t>Profit/cow before Fixed Costs below</t>
  </si>
  <si>
    <t>Economic Farm Surplus (EFS)/ha</t>
  </si>
  <si>
    <t>All columns are EFS. Top farms average in 97/8 NZ$2,000/ha. US$500/acre.</t>
  </si>
  <si>
    <t>NZ Fixed Costs/ 100 ha farm 2006</t>
  </si>
  <si>
    <t>Your Costs /ha</t>
  </si>
  <si>
    <t>Administration/farm &amp; ha</t>
  </si>
  <si>
    <t>Depreciation - buildings</t>
  </si>
  <si>
    <t>Depreciation - machinery</t>
  </si>
  <si>
    <t>Insurance</t>
  </si>
  <si>
    <t>Rates</t>
  </si>
  <si>
    <t>Total costs per ha &amp; per cow</t>
  </si>
  <si>
    <t>Profit/ha &amp; /cow after costs except land</t>
  </si>
  <si>
    <t>EFS/ha before land value</t>
  </si>
  <si>
    <t>Total farm value less buildings</t>
  </si>
  <si>
    <t>Enter your farm value less buildings value of  $400,000 in B52.</t>
  </si>
  <si>
    <t>EFS/ha after land value @</t>
  </si>
  <si>
    <t>Opportunity % &gt;</t>
  </si>
  <si>
    <t>Enter yours</t>
  </si>
  <si>
    <t>kg DM grown/ha pa</t>
  </si>
  <si>
    <t>Cents/kg of DM grown</t>
  </si>
  <si>
    <t>Enter your kg DM pa in C57.</t>
  </si>
  <si>
    <t>Av kg DM maintenance consumption/cow/day</t>
  </si>
  <si>
    <t>Maintenance cost/cow/day</t>
  </si>
  <si>
    <t>Enter 6.5 for Jerseys, 7 for crosses and 7.5 for Holsteins in C58.</t>
  </si>
  <si>
    <t>Av kg DM maintenance consumption/cow/year</t>
  </si>
  <si>
    <t>DM maintenance cost/cow/year</t>
  </si>
  <si>
    <t>Payout</t>
  </si>
  <si>
    <t>Herd Average</t>
  </si>
  <si>
    <t>Av kg DM fed/cow/year</t>
  </si>
  <si>
    <t>DM total cost/cow/year</t>
  </si>
  <si>
    <t>Increasing kg MS/cow pa by</t>
  </si>
  <si>
    <t>increases profit from</t>
  </si>
  <si>
    <t xml:space="preserve">cows by </t>
  </si>
  <si>
    <t>The above uses national average/cow production &amp; cost figures. Read below then enter yours in the bold cells.</t>
  </si>
  <si>
    <t>Most NZ grazing farmers do no calcualtions so milk more cows/ha than is profitable, because of under-feeding them,</t>
  </si>
  <si>
    <t xml:space="preserve">   hence the NZ average of only 340 kg milk solids/cow.</t>
  </si>
  <si>
    <t xml:space="preserve">The more cows per ha above the optimum the higher the animal health and running costs. </t>
  </si>
  <si>
    <t>5 to 8 kg DM/cow/day, depending on size, is maintenance, so each extra cow takes that away from milk production.</t>
  </si>
  <si>
    <t>Milking more cows may (or may not) increase production, but may not always increase net profit.</t>
  </si>
  <si>
    <t>Milking the optimum number can increase both production and profit.</t>
  </si>
  <si>
    <t>Milking more cows means that many are in the shed for longer, so the last ones get less feed.</t>
  </si>
  <si>
    <t>Numbers of sick ones, empties &amp; late calvers increase with heavy stocking, which further increases overall costs.</t>
  </si>
  <si>
    <t xml:space="preserve">Reducing stock numbers, if overstocked, can grow more pasture, and reduce stress all round. </t>
  </si>
  <si>
    <t xml:space="preserve">Over stocked farms produce a higher peak which costs your dairy company more in capital, </t>
  </si>
  <si>
    <t xml:space="preserve">   while correctly stocked farms produce more during the shoulder periods and can have longer lactations. </t>
  </si>
  <si>
    <t>When decreasing cow numbers use the VJ Cow Data &amp; Earnings template to cull your least profitable cows.</t>
  </si>
  <si>
    <t xml:space="preserve">In Australia and others that buy feed and/or irigate, costs can be $700 per cow per annum or more. </t>
  </si>
  <si>
    <t xml:space="preserve">Sharemilkers moving to larger farms may want to milk more cows for less profit to build up numbers, </t>
  </si>
  <si>
    <t xml:space="preserve">   but it could be better to lease extra cows out. </t>
  </si>
  <si>
    <t xml:space="preserve">The above is not exact for all farms, because of so many variations, but it is a guide. </t>
  </si>
  <si>
    <t>Management, staff, ACC insurance, clothing, etc.  LIC uses $210.</t>
  </si>
  <si>
    <t xml:space="preserve">It is more profitable to reduce numbers that to buy feed, even in USA, Canada &amp; UK. See testimonials. </t>
  </si>
  <si>
    <t xml:space="preserve">Read Excel Instructions folder.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</si>
</sst>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$&quot;#,##0&quot; &quot;;\(&quot;$&quot;#,##0\)"/>
    <numFmt numFmtId="165" formatCode="#,##0.0"/>
    <numFmt numFmtId="166" formatCode="&quot;$&quot;#,##0.00&quot; &quot;;\(&quot;$&quot;#,##0.00\)"/>
    <numFmt numFmtId="167" formatCode="&quot;$&quot;0.00;&quot;-&quot;&quot;$&quot;0.00"/>
    <numFmt numFmtId="168" formatCode="&quot;$&quot;#,##0"/>
    <numFmt numFmtId="169" formatCode="&quot;$&quot;#,##0.00"/>
    <numFmt numFmtId="170" formatCode="&quot;$&quot;0.0"/>
    <numFmt numFmtId="171" formatCode="0.0%"/>
    <numFmt numFmtId="172" formatCode="&quot;$&quot;#,##0.0"/>
    <numFmt numFmtId="173" formatCode="&quot;$&quot;0.00"/>
    <numFmt numFmtId="174" formatCode="#,##0.0000"/>
    <numFmt numFmtId="175" formatCode="#,##0&quot; &quot;;\(#,##0\)"/>
    <numFmt numFmtId="176" formatCode="#,##0.0%"/>
    <numFmt numFmtId="177" formatCode="#,##0.00%"/>
    <numFmt numFmtId="178" formatCode="d&quot; &quot;mmm&quot; &quot;yy"/>
  </numFmts>
  <fonts count="20" x14ac:knownFonts="1">
    <font>
      <sz val="10"/>
      <color indexed="8"/>
      <name val="Geneva"/>
    </font>
    <font>
      <b/>
      <sz val="16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b/>
      <sz val="12"/>
      <color indexed="11"/>
      <name val="Times New Roman"/>
    </font>
    <font>
      <sz val="12"/>
      <color indexed="12"/>
      <name val="Times New Roman"/>
    </font>
    <font>
      <b/>
      <sz val="12"/>
      <color indexed="13"/>
      <name val="Times New Roman"/>
    </font>
    <font>
      <sz val="14"/>
      <color indexed="12"/>
      <name val="Times New Roman"/>
    </font>
    <font>
      <sz val="12"/>
      <color indexed="14"/>
      <name val="Times New Roman"/>
    </font>
    <font>
      <b/>
      <sz val="12"/>
      <color indexed="12"/>
      <name val="Times New Roman"/>
    </font>
    <font>
      <b/>
      <u/>
      <sz val="12"/>
      <color indexed="8"/>
      <name val="Times New Roman"/>
    </font>
    <font>
      <u/>
      <sz val="12"/>
      <color indexed="8"/>
      <name val="Times New Roman"/>
    </font>
    <font>
      <b/>
      <sz val="14"/>
      <color indexed="8"/>
      <name val="Times New Roman"/>
    </font>
    <font>
      <sz val="13"/>
      <color indexed="12"/>
      <name val="Times New Roman"/>
    </font>
    <font>
      <b/>
      <sz val="16"/>
      <color indexed="16"/>
      <name val="Times New Roman"/>
    </font>
    <font>
      <b/>
      <sz val="12"/>
      <color indexed="16"/>
      <name val="Times New Roman"/>
    </font>
    <font>
      <u/>
      <sz val="10"/>
      <color indexed="16"/>
      <name val="Geneva"/>
    </font>
    <font>
      <sz val="10"/>
      <color indexed="8"/>
      <name val="Times New Roman"/>
    </font>
    <font>
      <b/>
      <sz val="12"/>
      <color rgb="FFFF0000"/>
      <name val="Times New Roman"/>
    </font>
    <font>
      <b/>
      <sz val="14"/>
      <color rgb="FFFF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15" fontId="3" fillId="3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/>
    <xf numFmtId="0" fontId="2" fillId="2" borderId="3" xfId="0" applyNumberFormat="1" applyFont="1" applyFill="1" applyBorder="1" applyAlignment="1"/>
    <xf numFmtId="15" fontId="3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left"/>
    </xf>
    <xf numFmtId="9" fontId="2" fillId="2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/>
    <xf numFmtId="0" fontId="3" fillId="2" borderId="2" xfId="0" applyNumberFormat="1" applyFont="1" applyFill="1" applyBorder="1" applyAlignment="1"/>
    <xf numFmtId="49" fontId="10" fillId="2" borderId="3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/>
    <xf numFmtId="49" fontId="8" fillId="2" borderId="1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/>
    <xf numFmtId="165" fontId="2" fillId="4" borderId="1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2" fillId="2" borderId="9" xfId="0" applyNumberFormat="1" applyFont="1" applyFill="1" applyBorder="1" applyAlignment="1"/>
    <xf numFmtId="49" fontId="2" fillId="2" borderId="2" xfId="0" applyNumberFormat="1" applyFont="1" applyFill="1" applyBorder="1" applyAlignment="1">
      <alignment horizontal="right"/>
    </xf>
    <xf numFmtId="166" fontId="3" fillId="3" borderId="3" xfId="0" applyNumberFormat="1" applyFont="1" applyFill="1" applyBorder="1" applyAlignment="1">
      <alignment horizontal="right"/>
    </xf>
    <xf numFmtId="167" fontId="2" fillId="4" borderId="1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/>
    </xf>
    <xf numFmtId="168" fontId="2" fillId="4" borderId="1" xfId="0" applyNumberFormat="1" applyFont="1" applyFill="1" applyBorder="1" applyAlignment="1"/>
    <xf numFmtId="168" fontId="2" fillId="4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168" fontId="2" fillId="4" borderId="1" xfId="0" applyNumberFormat="1" applyFont="1" applyFill="1" applyBorder="1" applyAlignment="1">
      <alignment horizontal="center"/>
    </xf>
    <xf numFmtId="169" fontId="2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68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/>
    <xf numFmtId="164" fontId="2" fillId="4" borderId="1" xfId="0" applyNumberFormat="1" applyFont="1" applyFill="1" applyBorder="1" applyAlignment="1">
      <alignment horizontal="right"/>
    </xf>
    <xf numFmtId="168" fontId="3" fillId="4" borderId="1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/>
    <xf numFmtId="49" fontId="1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left"/>
    </xf>
    <xf numFmtId="49" fontId="10" fillId="4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168" fontId="2" fillId="3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166" fontId="2" fillId="4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0" fontId="2" fillId="2" borderId="1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center"/>
    </xf>
    <xf numFmtId="168" fontId="2" fillId="2" borderId="1" xfId="0" applyNumberFormat="1" applyFont="1" applyFill="1" applyBorder="1" applyAlignment="1"/>
    <xf numFmtId="168" fontId="3" fillId="3" borderId="1" xfId="0" applyNumberFormat="1" applyFont="1" applyFill="1" applyBorder="1" applyAlignment="1">
      <alignment horizontal="right"/>
    </xf>
    <xf numFmtId="170" fontId="2" fillId="4" borderId="1" xfId="0" applyNumberFormat="1" applyFont="1" applyFill="1" applyBorder="1" applyAlignment="1">
      <alignment horizontal="right"/>
    </xf>
    <xf numFmtId="0" fontId="14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/>
    <xf numFmtId="49" fontId="9" fillId="2" borderId="1" xfId="0" applyNumberFormat="1" applyFont="1" applyFill="1" applyBorder="1" applyAlignment="1">
      <alignment horizontal="right"/>
    </xf>
    <xf numFmtId="0" fontId="15" fillId="2" borderId="1" xfId="0" applyNumberFormat="1" applyFont="1" applyFill="1" applyBorder="1" applyAlignment="1"/>
    <xf numFmtId="166" fontId="3" fillId="4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49" fontId="11" fillId="4" borderId="1" xfId="0" applyNumberFormat="1" applyFont="1" applyFill="1" applyBorder="1" applyAlignment="1">
      <alignment horizontal="right"/>
    </xf>
    <xf numFmtId="172" fontId="2" fillId="2" borderId="1" xfId="0" applyNumberFormat="1" applyFont="1" applyFill="1" applyBorder="1" applyAlignment="1"/>
    <xf numFmtId="167" fontId="2" fillId="2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8" fontId="2" fillId="2" borderId="1" xfId="0" applyNumberFormat="1" applyFont="1" applyFill="1" applyBorder="1" applyAlignment="1">
      <alignment horizontal="right"/>
    </xf>
    <xf numFmtId="173" fontId="2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49" fontId="16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/>
    <xf numFmtId="174" fontId="2" fillId="2" borderId="1" xfId="0" applyNumberFormat="1" applyFont="1" applyFill="1" applyBorder="1" applyAlignment="1">
      <alignment horizontal="right"/>
    </xf>
    <xf numFmtId="0" fontId="17" fillId="2" borderId="1" xfId="0" applyNumberFormat="1" applyFont="1" applyFill="1" applyBorder="1" applyAlignment="1"/>
    <xf numFmtId="164" fontId="3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168" fontId="3" fillId="2" borderId="1" xfId="0" applyNumberFormat="1" applyFont="1" applyFill="1" applyBorder="1" applyAlignment="1">
      <alignment horizontal="right"/>
    </xf>
    <xf numFmtId="9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center"/>
    </xf>
    <xf numFmtId="168" fontId="3" fillId="4" borderId="1" xfId="0" applyNumberFormat="1" applyFont="1" applyFill="1" applyBorder="1" applyAlignment="1"/>
    <xf numFmtId="175" fontId="2" fillId="2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/>
    <xf numFmtId="176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/>
    <xf numFmtId="177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78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5" fontId="2" fillId="2" borderId="1" xfId="0" applyNumberFormat="1" applyFont="1" applyFill="1" applyBorder="1" applyAlignment="1"/>
    <xf numFmtId="49" fontId="18" fillId="0" borderId="1" xfId="0" applyNumberFormat="1" applyFont="1" applyFill="1" applyBorder="1" applyAlignment="1">
      <alignment horizontal="left"/>
    </xf>
    <xf numFmtId="49" fontId="18" fillId="0" borderId="1" xfId="0" applyNumberFormat="1" applyFont="1" applyFill="1" applyBorder="1" applyAlignment="1"/>
    <xf numFmtId="49" fontId="18" fillId="0" borderId="5" xfId="0" applyNumberFormat="1" applyFont="1" applyFill="1" applyBorder="1" applyAlignment="1">
      <alignment horizontal="left"/>
    </xf>
    <xf numFmtId="49" fontId="18" fillId="0" borderId="7" xfId="0" applyNumberFormat="1" applyFont="1" applyFill="1" applyBorder="1" applyAlignment="1">
      <alignment horizontal="left"/>
    </xf>
    <xf numFmtId="3" fontId="18" fillId="0" borderId="7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/>
    <xf numFmtId="0" fontId="2" fillId="0" borderId="8" xfId="0" applyNumberFormat="1" applyFont="1" applyFill="1" applyBorder="1" applyAlignment="1"/>
    <xf numFmtId="0" fontId="19" fillId="2" borderId="1" xfId="0" applyFont="1" applyFill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3366FF"/>
      <rgbColor rgb="FFFF2600"/>
      <rgbColor rgb="FF006411"/>
      <rgbColor rgb="FFDD0806"/>
      <rgbColor rgb="FF61E1EB"/>
      <rgbColor rgb="FF0000D4"/>
      <rgbColor rgb="FFCCFFCC"/>
      <rgbColor rgb="FFFF000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x-rates.com/calculato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GridLines="0" tabSelected="1" workbookViewId="0">
      <selection activeCell="F1" sqref="F1"/>
    </sheetView>
  </sheetViews>
  <sheetFormatPr baseColWidth="10" defaultColWidth="7.7109375" defaultRowHeight="15" customHeight="1" x14ac:dyDescent="0.2"/>
  <cols>
    <col min="1" max="1" width="25.42578125" style="1" customWidth="1"/>
    <col min="2" max="2" width="19" style="1" customWidth="1"/>
    <col min="3" max="3" width="21.42578125" style="1" customWidth="1"/>
    <col min="4" max="4" width="12.42578125" style="1" customWidth="1"/>
    <col min="5" max="5" width="16.140625" style="1" customWidth="1"/>
    <col min="6" max="6" width="15.5703125" style="1" customWidth="1"/>
    <col min="7" max="7" width="12.7109375" style="1" customWidth="1"/>
    <col min="8" max="8" width="9.28515625" style="1" customWidth="1"/>
    <col min="9" max="9" width="10.42578125" style="1" customWidth="1"/>
    <col min="10" max="10" width="20.42578125" style="1" customWidth="1"/>
    <col min="11" max="11" width="14.140625" style="1" customWidth="1"/>
    <col min="12" max="12" width="7.42578125" style="1" customWidth="1"/>
    <col min="13" max="13" width="11.5703125" style="1" customWidth="1"/>
    <col min="14" max="14" width="5" style="1" customWidth="1"/>
    <col min="15" max="15" width="18.42578125" style="1" customWidth="1"/>
    <col min="16" max="16" width="7.42578125" style="1" customWidth="1"/>
    <col min="17" max="17" width="19.42578125" style="1" customWidth="1"/>
    <col min="18" max="18" width="5.42578125" style="1" customWidth="1"/>
    <col min="19" max="19" width="7.7109375" style="1" customWidth="1"/>
    <col min="20" max="20" width="49" style="1" customWidth="1"/>
    <col min="21" max="256" width="7.7109375" customWidth="1"/>
  </cols>
  <sheetData>
    <row r="1" spans="1:20" ht="22" customHeight="1" x14ac:dyDescent="0.2">
      <c r="A1" s="2" t="s">
        <v>0</v>
      </c>
      <c r="B1" s="3"/>
      <c r="C1" s="146" t="s">
        <v>200</v>
      </c>
      <c r="D1" s="4"/>
      <c r="E1" s="4"/>
      <c r="F1" s="5">
        <v>41329</v>
      </c>
      <c r="G1" s="6" t="s">
        <v>1</v>
      </c>
      <c r="H1" s="7"/>
      <c r="I1" s="4"/>
      <c r="J1" s="8"/>
      <c r="K1" s="4"/>
      <c r="L1" s="4"/>
      <c r="M1" s="4"/>
      <c r="N1" s="4"/>
      <c r="O1" s="4"/>
      <c r="P1" s="9" t="s">
        <v>2</v>
      </c>
      <c r="Q1" s="4"/>
      <c r="R1" s="4"/>
      <c r="S1" s="4"/>
      <c r="T1" s="4"/>
    </row>
    <row r="2" spans="1:20" ht="20" customHeight="1" x14ac:dyDescent="0.2">
      <c r="A2" s="10" t="s">
        <v>3</v>
      </c>
      <c r="B2" s="11"/>
      <c r="C2" s="12" t="s">
        <v>4</v>
      </c>
      <c r="D2" s="13">
        <v>100</v>
      </c>
      <c r="E2" s="4"/>
      <c r="F2" s="4"/>
      <c r="G2" s="14" t="s">
        <v>5</v>
      </c>
      <c r="H2" s="3"/>
      <c r="I2" s="3"/>
      <c r="J2" s="3"/>
      <c r="K2" s="3"/>
      <c r="L2" s="3"/>
      <c r="M2" s="4"/>
      <c r="N2" s="4"/>
      <c r="O2" s="4"/>
      <c r="P2" s="15" t="s">
        <v>6</v>
      </c>
      <c r="Q2" s="4"/>
      <c r="R2" s="4"/>
      <c r="S2" s="4"/>
      <c r="T2" s="4"/>
    </row>
    <row r="3" spans="1:20" ht="20" customHeight="1" x14ac:dyDescent="0.2">
      <c r="A3" s="4"/>
      <c r="B3" s="16" t="s">
        <v>7</v>
      </c>
      <c r="C3" s="4"/>
      <c r="D3" s="4"/>
      <c r="E3" s="17" t="s">
        <v>8</v>
      </c>
      <c r="F3" s="17" t="s">
        <v>8</v>
      </c>
      <c r="G3" s="18"/>
      <c r="H3" s="3"/>
      <c r="I3" s="3"/>
      <c r="J3" s="12" t="s">
        <v>9</v>
      </c>
      <c r="K3" s="19">
        <v>0.08</v>
      </c>
      <c r="L3" s="3"/>
      <c r="M3" s="12" t="s">
        <v>10</v>
      </c>
      <c r="N3" s="19">
        <v>7.0000000000000007E-2</v>
      </c>
      <c r="O3" s="9" t="s">
        <v>11</v>
      </c>
      <c r="P3" s="4"/>
      <c r="Q3" s="4"/>
      <c r="R3" s="15" t="s">
        <v>12</v>
      </c>
      <c r="S3" s="4"/>
      <c r="T3" s="4"/>
    </row>
    <row r="4" spans="1:20" ht="20" customHeight="1" x14ac:dyDescent="0.2">
      <c r="A4" s="139" t="s">
        <v>20</v>
      </c>
      <c r="B4" s="4"/>
      <c r="C4" s="12" t="s">
        <v>13</v>
      </c>
      <c r="D4" s="20">
        <v>1800</v>
      </c>
      <c r="E4" s="17" t="s">
        <v>14</v>
      </c>
      <c r="F4" s="17" t="s">
        <v>15</v>
      </c>
      <c r="G4" s="21" t="s">
        <v>16</v>
      </c>
      <c r="H4" s="3"/>
      <c r="I4" s="3"/>
      <c r="J4" s="12" t="s">
        <v>17</v>
      </c>
      <c r="K4" s="19">
        <v>0.08</v>
      </c>
      <c r="L4" s="3"/>
      <c r="M4" s="12" t="s">
        <v>18</v>
      </c>
      <c r="N4" s="19">
        <v>0.12</v>
      </c>
      <c r="O4" s="9" t="s">
        <v>19</v>
      </c>
      <c r="P4" s="4"/>
      <c r="Q4" s="4"/>
      <c r="R4" s="4"/>
      <c r="S4" s="4"/>
      <c r="T4" s="4"/>
    </row>
    <row r="5" spans="1:20" ht="20" customHeight="1" x14ac:dyDescent="0.2">
      <c r="A5" s="140" t="s">
        <v>22</v>
      </c>
      <c r="B5" s="3"/>
      <c r="C5" s="22"/>
      <c r="D5" s="23" t="s">
        <v>21</v>
      </c>
      <c r="E5" s="24">
        <v>20</v>
      </c>
      <c r="F5" s="25">
        <v>20</v>
      </c>
      <c r="G5" s="18"/>
      <c r="H5" s="3"/>
      <c r="I5" s="3"/>
      <c r="J5" s="3"/>
      <c r="K5" s="3"/>
      <c r="L5" s="3"/>
      <c r="M5" s="3"/>
      <c r="N5" s="4"/>
      <c r="O5" s="4"/>
      <c r="P5" s="4"/>
      <c r="Q5" s="4"/>
      <c r="R5" s="4"/>
      <c r="S5" s="4"/>
      <c r="T5" s="4"/>
    </row>
    <row r="6" spans="1:20" ht="20" customHeight="1" x14ac:dyDescent="0.2">
      <c r="A6" s="141" t="s">
        <v>28</v>
      </c>
      <c r="B6" s="3"/>
      <c r="C6" s="12" t="s">
        <v>23</v>
      </c>
      <c r="D6" s="26">
        <v>300</v>
      </c>
      <c r="E6" s="27">
        <f>D6+E5</f>
        <v>320</v>
      </c>
      <c r="F6" s="27">
        <f>D6-F5</f>
        <v>280</v>
      </c>
      <c r="G6" s="28">
        <v>2.4700000000000002</v>
      </c>
      <c r="H6" s="10" t="s">
        <v>24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0" customHeight="1" x14ac:dyDescent="0.2">
      <c r="A7" s="142" t="s">
        <v>36</v>
      </c>
      <c r="B7" s="29"/>
      <c r="C7" s="12" t="s">
        <v>25</v>
      </c>
      <c r="D7" s="26">
        <v>102000</v>
      </c>
      <c r="E7" s="27">
        <f>E6*E8</f>
        <v>101184</v>
      </c>
      <c r="F7" s="27">
        <f>F6*F8</f>
        <v>106624</v>
      </c>
      <c r="G7" s="30" t="s">
        <v>26</v>
      </c>
      <c r="H7" s="31"/>
      <c r="I7" s="32" t="s">
        <v>27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0" customHeight="1" x14ac:dyDescent="0.2">
      <c r="A8" s="142" t="s">
        <v>39</v>
      </c>
      <c r="B8" s="144"/>
      <c r="C8" s="33" t="s">
        <v>29</v>
      </c>
      <c r="D8" s="34">
        <f>D7/D6</f>
        <v>340</v>
      </c>
      <c r="E8" s="27">
        <f>D8-(D8*N3)</f>
        <v>316.2</v>
      </c>
      <c r="F8" s="27">
        <f>D8+(D8*N4)</f>
        <v>380.8</v>
      </c>
      <c r="G8" s="10" t="s">
        <v>30</v>
      </c>
      <c r="H8" s="4"/>
      <c r="I8" s="3"/>
      <c r="J8" s="35" t="s">
        <v>31</v>
      </c>
      <c r="K8" s="35" t="s">
        <v>32</v>
      </c>
      <c r="L8" s="35" t="s">
        <v>33</v>
      </c>
      <c r="M8" s="35" t="s">
        <v>34</v>
      </c>
      <c r="N8" s="36" t="s">
        <v>35</v>
      </c>
      <c r="O8" s="4"/>
      <c r="P8" s="4"/>
      <c r="Q8" s="4"/>
      <c r="R8" s="4"/>
      <c r="S8" s="4"/>
      <c r="T8" s="4"/>
    </row>
    <row r="9" spans="1:20" ht="20" customHeight="1" x14ac:dyDescent="0.2">
      <c r="A9" s="143" t="s">
        <v>199</v>
      </c>
      <c r="B9" s="145"/>
      <c r="C9" s="33" t="s">
        <v>37</v>
      </c>
      <c r="D9" s="37">
        <f>D6/$D$2</f>
        <v>3</v>
      </c>
      <c r="E9" s="37">
        <f>E6/$D$2</f>
        <v>3.2</v>
      </c>
      <c r="F9" s="37">
        <f>F6/$D$2</f>
        <v>2.8</v>
      </c>
      <c r="G9" s="4"/>
      <c r="H9" s="3"/>
      <c r="I9" s="12" t="s">
        <v>38</v>
      </c>
      <c r="J9" s="38">
        <v>251</v>
      </c>
      <c r="K9" s="13">
        <v>63000</v>
      </c>
      <c r="L9" s="39">
        <f>K9/J9</f>
        <v>250.99601593625499</v>
      </c>
      <c r="M9" s="40">
        <f>L9/N9</f>
        <v>143.42629482071715</v>
      </c>
      <c r="N9" s="41">
        <v>1.75</v>
      </c>
      <c r="O9" s="3"/>
      <c r="P9" s="3"/>
      <c r="Q9" s="3"/>
      <c r="R9" s="3"/>
      <c r="S9" s="3"/>
      <c r="T9" s="3"/>
    </row>
    <row r="10" spans="1:20" ht="20" customHeight="1" x14ac:dyDescent="0.2">
      <c r="B10" s="145"/>
      <c r="C10" s="33" t="s">
        <v>40</v>
      </c>
      <c r="D10" s="27">
        <f>D8*D9</f>
        <v>1020</v>
      </c>
      <c r="E10" s="27">
        <f>E8*E9</f>
        <v>1011.84</v>
      </c>
      <c r="F10" s="27">
        <f>F8*F9</f>
        <v>1066.24</v>
      </c>
      <c r="G10" s="4"/>
      <c r="H10" s="3"/>
      <c r="I10" s="42" t="s">
        <v>41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20" customHeight="1" x14ac:dyDescent="0.2">
      <c r="B11" s="43"/>
      <c r="C11" s="44" t="s">
        <v>42</v>
      </c>
      <c r="D11" s="45">
        <v>4.5999999999999996</v>
      </c>
      <c r="E11" s="46">
        <f>D11</f>
        <v>4.5999999999999996</v>
      </c>
      <c r="F11" s="46">
        <f>D11</f>
        <v>4.5999999999999996</v>
      </c>
      <c r="G11" s="30" t="s">
        <v>43</v>
      </c>
      <c r="H11" s="3"/>
      <c r="I11" s="35" t="s">
        <v>44</v>
      </c>
      <c r="J11" s="35" t="s">
        <v>45</v>
      </c>
      <c r="K11" s="35" t="s">
        <v>46</v>
      </c>
      <c r="L11" s="35" t="s">
        <v>47</v>
      </c>
      <c r="M11" s="35" t="s">
        <v>48</v>
      </c>
      <c r="N11" s="3"/>
      <c r="O11" s="3"/>
      <c r="P11" s="3"/>
      <c r="Q11" s="3"/>
      <c r="R11" s="3"/>
      <c r="S11" s="3"/>
      <c r="T11" s="3"/>
    </row>
    <row r="12" spans="1:20" ht="20" customHeight="1" x14ac:dyDescent="0.2">
      <c r="A12" s="47" t="s">
        <v>49</v>
      </c>
      <c r="B12" s="48">
        <f>D12/D6</f>
        <v>1563.9999999999998</v>
      </c>
      <c r="C12" s="12" t="s">
        <v>50</v>
      </c>
      <c r="D12" s="49">
        <f>D7*D11</f>
        <v>469199.99999999994</v>
      </c>
      <c r="E12" s="49">
        <f>(E7*E11)</f>
        <v>465446.39999999997</v>
      </c>
      <c r="F12" s="49">
        <f>(F7*F11)</f>
        <v>490470.39999999997</v>
      </c>
      <c r="G12" s="50"/>
      <c r="H12" s="3"/>
      <c r="I12" s="51">
        <v>300</v>
      </c>
      <c r="J12" s="52">
        <f>D4+100</f>
        <v>1900</v>
      </c>
      <c r="K12" s="52">
        <f>J12-I12</f>
        <v>1600</v>
      </c>
      <c r="L12" s="53">
        <f>D11</f>
        <v>4.5999999999999996</v>
      </c>
      <c r="M12" s="54">
        <f>K12/L12/2</f>
        <v>173.91304347826087</v>
      </c>
      <c r="N12" s="10" t="s">
        <v>51</v>
      </c>
      <c r="O12" s="3"/>
      <c r="P12" s="3"/>
      <c r="Q12" s="3"/>
      <c r="R12" s="3"/>
      <c r="S12" s="3"/>
      <c r="T12" s="3"/>
    </row>
    <row r="13" spans="1:20" ht="20" customHeight="1" x14ac:dyDescent="0.2">
      <c r="A13" s="4"/>
      <c r="B13" s="12" t="s">
        <v>52</v>
      </c>
      <c r="C13" s="55">
        <v>60</v>
      </c>
      <c r="D13" s="56">
        <f>D6*$C$13*0.95*1.02</f>
        <v>17442</v>
      </c>
      <c r="E13" s="57">
        <f>E6*$C$13*0.95*1.02</f>
        <v>18604.8</v>
      </c>
      <c r="F13" s="57">
        <f>F6*$C$13*0.95*1.02</f>
        <v>16279.2</v>
      </c>
      <c r="G13" s="32" t="s">
        <v>53</v>
      </c>
      <c r="H13" s="3"/>
      <c r="I13" s="3"/>
      <c r="J13" s="3"/>
      <c r="K13" s="3"/>
      <c r="L13" s="3"/>
      <c r="M13" s="54">
        <f>M12*0.66</f>
        <v>114.78260869565219</v>
      </c>
      <c r="N13" s="10" t="s">
        <v>54</v>
      </c>
      <c r="O13" s="3"/>
      <c r="P13" s="3"/>
      <c r="Q13" s="3"/>
      <c r="R13" s="3"/>
      <c r="S13" s="3"/>
      <c r="T13" s="3"/>
    </row>
    <row r="14" spans="1:20" ht="20" customHeight="1" x14ac:dyDescent="0.2">
      <c r="A14" s="4"/>
      <c r="B14" s="3"/>
      <c r="C14" s="12" t="s">
        <v>55</v>
      </c>
      <c r="D14" s="58">
        <f>D12+D13</f>
        <v>486641.99999999994</v>
      </c>
      <c r="E14" s="58">
        <f>E12+E13</f>
        <v>484051.19999999995</v>
      </c>
      <c r="F14" s="58">
        <f>F12+F13</f>
        <v>506749.6</v>
      </c>
      <c r="G14" s="3"/>
      <c r="H14" s="10" t="s">
        <v>56</v>
      </c>
      <c r="I14" s="3"/>
      <c r="J14" s="3"/>
      <c r="K14" s="3"/>
      <c r="L14" s="3"/>
      <c r="M14" s="3"/>
      <c r="N14" s="3"/>
      <c r="O14" s="3"/>
      <c r="P14" s="59" t="s">
        <v>57</v>
      </c>
      <c r="Q14" s="3"/>
      <c r="R14" s="3"/>
      <c r="S14" s="3"/>
      <c r="T14" s="3"/>
    </row>
    <row r="15" spans="1:20" ht="20" customHeight="1" x14ac:dyDescent="0.2">
      <c r="A15" s="4"/>
      <c r="B15" s="12" t="s">
        <v>58</v>
      </c>
      <c r="C15" s="56">
        <f>D15*D9</f>
        <v>4866.42</v>
      </c>
      <c r="D15" s="49">
        <f>D14/D6</f>
        <v>1622.1399999999999</v>
      </c>
      <c r="E15" s="49">
        <f>E14/E6</f>
        <v>1512.6599999999999</v>
      </c>
      <c r="F15" s="49">
        <f>F14/F6</f>
        <v>1809.82</v>
      </c>
      <c r="G15" s="10" t="s">
        <v>59</v>
      </c>
      <c r="H15" s="3"/>
      <c r="I15" s="60">
        <v>1</v>
      </c>
      <c r="J15" s="10" t="s">
        <v>60</v>
      </c>
      <c r="K15" s="61">
        <f>I15*0.048</f>
        <v>4.8000000000000001E-2</v>
      </c>
      <c r="L15" s="10" t="s">
        <v>61</v>
      </c>
      <c r="M15" s="61">
        <f>K15*N9</f>
        <v>8.4000000000000005E-2</v>
      </c>
      <c r="N15" s="10" t="s">
        <v>48</v>
      </c>
      <c r="O15" s="3"/>
      <c r="P15" s="41">
        <v>0.62</v>
      </c>
      <c r="Q15" s="36" t="s">
        <v>62</v>
      </c>
      <c r="R15" s="3"/>
      <c r="S15" s="62" t="s">
        <v>63</v>
      </c>
      <c r="T15" s="3"/>
    </row>
    <row r="16" spans="1:20" ht="20" customHeight="1" x14ac:dyDescent="0.2">
      <c r="A16" s="4"/>
      <c r="B16" s="63"/>
      <c r="C16" s="64" t="s">
        <v>64</v>
      </c>
      <c r="D16" s="64" t="s">
        <v>65</v>
      </c>
      <c r="E16" s="65" t="s">
        <v>66</v>
      </c>
      <c r="F16" s="66"/>
      <c r="G16" s="67"/>
      <c r="H16" s="3"/>
      <c r="I16" s="68" t="str">
        <f>D5</f>
        <v>Last Year</v>
      </c>
      <c r="J16" s="60"/>
      <c r="K16" s="68" t="str">
        <f>E3</f>
        <v>Cows next year</v>
      </c>
      <c r="L16" s="3"/>
      <c r="M16" s="62" t="s">
        <v>67</v>
      </c>
      <c r="N16" s="60"/>
      <c r="O16" s="65" t="s">
        <v>68</v>
      </c>
      <c r="P16" s="59" t="s">
        <v>69</v>
      </c>
      <c r="Q16" s="3"/>
      <c r="R16" s="3"/>
      <c r="S16" s="69" t="s">
        <v>70</v>
      </c>
      <c r="T16" s="3"/>
    </row>
    <row r="17" spans="1:20" ht="20" customHeight="1" x14ac:dyDescent="0.2">
      <c r="A17" s="70" t="s">
        <v>71</v>
      </c>
      <c r="B17" s="71"/>
      <c r="C17" s="12" t="s">
        <v>72</v>
      </c>
      <c r="D17" s="72">
        <v>18</v>
      </c>
      <c r="E17" s="49">
        <f>D6+(D17*20)</f>
        <v>660</v>
      </c>
      <c r="F17" s="49">
        <f>D6-(D17*D17)</f>
        <v>-24</v>
      </c>
      <c r="G17" s="32" t="s">
        <v>73</v>
      </c>
      <c r="H17" s="3"/>
      <c r="I17" s="73" t="s">
        <v>74</v>
      </c>
      <c r="J17" s="74"/>
      <c r="K17" s="73" t="s">
        <v>74</v>
      </c>
      <c r="L17" s="75"/>
      <c r="M17" s="73" t="s">
        <v>74</v>
      </c>
      <c r="N17" s="3"/>
      <c r="O17" s="76" t="s">
        <v>75</v>
      </c>
      <c r="P17" s="77">
        <f t="shared" ref="P17:P23" si="0">D17*$P$15</f>
        <v>11.16</v>
      </c>
      <c r="Q17" s="3"/>
      <c r="R17" s="12" t="s">
        <v>76</v>
      </c>
      <c r="S17" s="78">
        <v>5</v>
      </c>
      <c r="T17" s="3"/>
    </row>
    <row r="18" spans="1:20" ht="20" customHeight="1" x14ac:dyDescent="0.2">
      <c r="A18" s="70" t="s">
        <v>77</v>
      </c>
      <c r="B18" s="3"/>
      <c r="C18" s="12" t="s">
        <v>78</v>
      </c>
      <c r="D18" s="72">
        <v>20</v>
      </c>
      <c r="E18" s="49">
        <f>D18*($E$6-$D$6)</f>
        <v>400</v>
      </c>
      <c r="F18" s="49">
        <f t="shared" ref="F18:F23" si="1">D18*($D$6-$F$6)</f>
        <v>400</v>
      </c>
      <c r="G18" s="32" t="s">
        <v>73</v>
      </c>
      <c r="H18" s="3"/>
      <c r="I18" s="35" t="s">
        <v>79</v>
      </c>
      <c r="J18" s="3"/>
      <c r="K18" s="35" t="s">
        <v>79</v>
      </c>
      <c r="L18" s="75"/>
      <c r="M18" s="35" t="s">
        <v>79</v>
      </c>
      <c r="N18" s="3"/>
      <c r="O18" s="76" t="s">
        <v>80</v>
      </c>
      <c r="P18" s="77">
        <f t="shared" si="0"/>
        <v>12.4</v>
      </c>
      <c r="Q18" s="3"/>
      <c r="R18" s="12" t="s">
        <v>81</v>
      </c>
      <c r="S18" s="78">
        <v>70</v>
      </c>
      <c r="T18" s="3"/>
    </row>
    <row r="19" spans="1:20" ht="20" customHeight="1" x14ac:dyDescent="0.2">
      <c r="A19" s="4"/>
      <c r="B19" s="4"/>
      <c r="C19" s="12" t="s">
        <v>82</v>
      </c>
      <c r="D19" s="72">
        <v>70</v>
      </c>
      <c r="E19" s="49">
        <f>D19*($E$6-$D$6)</f>
        <v>1400</v>
      </c>
      <c r="F19" s="49">
        <f t="shared" si="1"/>
        <v>1400</v>
      </c>
      <c r="G19" s="32" t="s">
        <v>73</v>
      </c>
      <c r="H19" s="3"/>
      <c r="I19" s="54">
        <f>D7/M15</f>
        <v>1214285.7142857143</v>
      </c>
      <c r="J19" s="3"/>
      <c r="K19" s="54">
        <f>E7/M15</f>
        <v>1204571.4285714284</v>
      </c>
      <c r="L19" s="75"/>
      <c r="M19" s="54">
        <f>F7/M15</f>
        <v>1269333.3333333333</v>
      </c>
      <c r="N19" s="3"/>
      <c r="O19" s="76" t="s">
        <v>83</v>
      </c>
      <c r="P19" s="77">
        <f t="shared" si="0"/>
        <v>43.4</v>
      </c>
      <c r="Q19" s="3"/>
      <c r="R19" s="12" t="s">
        <v>84</v>
      </c>
      <c r="S19" s="78">
        <v>13</v>
      </c>
      <c r="T19" s="3"/>
    </row>
    <row r="20" spans="1:20" ht="20" customHeight="1" x14ac:dyDescent="0.2">
      <c r="A20" s="4"/>
      <c r="B20" s="3"/>
      <c r="C20" s="12" t="s">
        <v>85</v>
      </c>
      <c r="D20" s="58">
        <f>365*8*0.2</f>
        <v>584</v>
      </c>
      <c r="E20" s="58">
        <f>-D20*($E$6-$D$6)</f>
        <v>-11680</v>
      </c>
      <c r="F20" s="58">
        <f t="shared" si="1"/>
        <v>11680</v>
      </c>
      <c r="G20" s="67"/>
      <c r="H20" s="3"/>
      <c r="I20" s="35" t="s">
        <v>86</v>
      </c>
      <c r="J20" s="79"/>
      <c r="K20" s="35" t="s">
        <v>86</v>
      </c>
      <c r="L20" s="75"/>
      <c r="M20" s="35" t="s">
        <v>86</v>
      </c>
      <c r="N20" s="3"/>
      <c r="O20" s="76" t="s">
        <v>87</v>
      </c>
      <c r="P20" s="77">
        <f t="shared" si="0"/>
        <v>362.08</v>
      </c>
      <c r="Q20" s="3"/>
      <c r="R20" s="12" t="s">
        <v>88</v>
      </c>
      <c r="S20" s="78">
        <v>81</v>
      </c>
      <c r="T20" s="3"/>
    </row>
    <row r="21" spans="1:20" ht="20" customHeight="1" x14ac:dyDescent="0.2">
      <c r="A21" s="4"/>
      <c r="B21" s="3"/>
      <c r="C21" s="12" t="s">
        <v>89</v>
      </c>
      <c r="D21" s="72">
        <v>55</v>
      </c>
      <c r="E21" s="49">
        <f>-D21*($E$6-$D$6)</f>
        <v>-1100</v>
      </c>
      <c r="F21" s="49">
        <f t="shared" si="1"/>
        <v>1100</v>
      </c>
      <c r="G21" s="32" t="s">
        <v>73</v>
      </c>
      <c r="H21" s="3"/>
      <c r="I21" s="54">
        <f>I19/D2</f>
        <v>12142.857142857143</v>
      </c>
      <c r="J21" s="79"/>
      <c r="K21" s="54">
        <f>K19/D2</f>
        <v>12045.714285714284</v>
      </c>
      <c r="L21" s="75"/>
      <c r="M21" s="54">
        <f>M19/D2</f>
        <v>12693.333333333332</v>
      </c>
      <c r="N21" s="3"/>
      <c r="O21" s="76" t="s">
        <v>90</v>
      </c>
      <c r="P21" s="77">
        <f t="shared" si="0"/>
        <v>34.1</v>
      </c>
      <c r="Q21" s="3"/>
      <c r="R21" s="12" t="s">
        <v>91</v>
      </c>
      <c r="S21" s="78">
        <v>85</v>
      </c>
      <c r="T21" s="3"/>
    </row>
    <row r="22" spans="1:20" ht="20" customHeight="1" x14ac:dyDescent="0.2">
      <c r="A22" s="80"/>
      <c r="B22" s="81"/>
      <c r="C22" s="33" t="s">
        <v>92</v>
      </c>
      <c r="D22" s="72">
        <v>0</v>
      </c>
      <c r="E22" s="49">
        <f>-D22*($E$6-$D$6)</f>
        <v>0</v>
      </c>
      <c r="F22" s="49">
        <f t="shared" si="1"/>
        <v>0</v>
      </c>
      <c r="G22" s="32" t="s">
        <v>73</v>
      </c>
      <c r="H22" s="3"/>
      <c r="I22" s="3"/>
      <c r="J22" s="12" t="s">
        <v>93</v>
      </c>
      <c r="K22" s="35" t="s">
        <v>94</v>
      </c>
      <c r="L22" s="75"/>
      <c r="M22" s="82"/>
      <c r="N22" s="3"/>
      <c r="O22" s="76" t="s">
        <v>95</v>
      </c>
      <c r="P22" s="77">
        <f t="shared" si="0"/>
        <v>0</v>
      </c>
      <c r="Q22" s="3"/>
      <c r="R22" s="12" t="s">
        <v>96</v>
      </c>
      <c r="S22" s="78">
        <v>24</v>
      </c>
      <c r="T22" s="3"/>
    </row>
    <row r="23" spans="1:20" ht="20" customHeight="1" x14ac:dyDescent="0.2">
      <c r="A23" s="4"/>
      <c r="B23" s="3"/>
      <c r="C23" s="12" t="s">
        <v>97</v>
      </c>
      <c r="D23" s="72">
        <v>50</v>
      </c>
      <c r="E23" s="49">
        <f>-D23*($E$6-$D$6)</f>
        <v>-1000</v>
      </c>
      <c r="F23" s="49">
        <f t="shared" si="1"/>
        <v>1000</v>
      </c>
      <c r="G23" s="32" t="s">
        <v>73</v>
      </c>
      <c r="H23" s="3"/>
      <c r="I23" s="3"/>
      <c r="J23" s="83"/>
      <c r="K23" s="82"/>
      <c r="L23" s="75"/>
      <c r="M23" s="82"/>
      <c r="N23" s="3"/>
      <c r="O23" s="76" t="s">
        <v>98</v>
      </c>
      <c r="P23" s="77">
        <f t="shared" si="0"/>
        <v>31</v>
      </c>
      <c r="Q23" s="3"/>
      <c r="R23" s="12" t="s">
        <v>99</v>
      </c>
      <c r="S23" s="78">
        <v>91</v>
      </c>
      <c r="T23" s="3"/>
    </row>
    <row r="24" spans="1:20" ht="20" customHeight="1" x14ac:dyDescent="0.2">
      <c r="A24" s="4"/>
      <c r="B24" s="12" t="s">
        <v>100</v>
      </c>
      <c r="C24" s="84">
        <v>40000</v>
      </c>
      <c r="D24" s="85">
        <f>$C$24/D$6*$C$27</f>
        <v>9.3333333333333357</v>
      </c>
      <c r="E24" s="85">
        <f>$C$24/$E$6*$C$27</f>
        <v>8.75</v>
      </c>
      <c r="F24" s="85">
        <f>$C$24/$F$6*$C$27</f>
        <v>10.000000000000002</v>
      </c>
      <c r="G24" s="32" t="s">
        <v>101</v>
      </c>
      <c r="H24" s="3"/>
      <c r="I24" s="3"/>
      <c r="J24" s="83"/>
      <c r="K24" s="82"/>
      <c r="L24" s="75"/>
      <c r="M24" s="82"/>
      <c r="N24" s="3"/>
      <c r="O24" s="3"/>
      <c r="P24" s="77"/>
      <c r="Q24" s="3"/>
      <c r="R24" s="71"/>
      <c r="S24" s="78"/>
      <c r="T24" s="3"/>
    </row>
    <row r="25" spans="1:20" ht="20" customHeight="1" x14ac:dyDescent="0.2">
      <c r="A25" s="4"/>
      <c r="B25" s="3"/>
      <c r="C25" s="12" t="s">
        <v>102</v>
      </c>
      <c r="D25" s="72">
        <v>30</v>
      </c>
      <c r="E25" s="49">
        <f>D25*20</f>
        <v>600</v>
      </c>
      <c r="F25" s="49">
        <f>D25*($D$6-$F$6)</f>
        <v>600</v>
      </c>
      <c r="G25" s="32" t="s">
        <v>73</v>
      </c>
      <c r="H25" s="3"/>
      <c r="I25" s="86"/>
      <c r="J25" s="3"/>
      <c r="K25" s="82"/>
      <c r="L25" s="75"/>
      <c r="M25" s="82"/>
      <c r="N25" s="3"/>
      <c r="O25" s="76" t="s">
        <v>103</v>
      </c>
      <c r="P25" s="77">
        <f>D25*$P$15</f>
        <v>18.600000000000001</v>
      </c>
      <c r="Q25" s="3"/>
      <c r="R25" s="12" t="s">
        <v>104</v>
      </c>
      <c r="S25" s="78">
        <v>13</v>
      </c>
      <c r="T25" s="3"/>
    </row>
    <row r="26" spans="1:20" ht="20" customHeight="1" x14ac:dyDescent="0.2">
      <c r="A26" s="4"/>
      <c r="B26" s="3"/>
      <c r="C26" s="12" t="s">
        <v>198</v>
      </c>
      <c r="D26" s="72">
        <v>200</v>
      </c>
      <c r="E26" s="49">
        <f>-D26*($E$6-$D$6)</f>
        <v>-4000</v>
      </c>
      <c r="F26" s="49">
        <f>D26*($D$6-$F$6)</f>
        <v>4000</v>
      </c>
      <c r="G26" s="32"/>
      <c r="H26" s="71"/>
      <c r="I26" s="87"/>
      <c r="J26" s="3"/>
      <c r="K26" s="87"/>
      <c r="L26" s="75"/>
      <c r="M26" s="87"/>
      <c r="N26" s="3"/>
      <c r="O26" s="76" t="s">
        <v>105</v>
      </c>
      <c r="P26" s="77">
        <f>D26*$P$15</f>
        <v>124</v>
      </c>
      <c r="Q26" s="3"/>
      <c r="R26" s="12" t="s">
        <v>106</v>
      </c>
      <c r="S26" s="78">
        <v>21</v>
      </c>
      <c r="T26" s="3"/>
    </row>
    <row r="27" spans="1:20" ht="20" customHeight="1" x14ac:dyDescent="0.2">
      <c r="A27" s="4"/>
      <c r="B27" s="12" t="s">
        <v>107</v>
      </c>
      <c r="C27" s="88">
        <v>7.0000000000000007E-2</v>
      </c>
      <c r="D27" s="49">
        <f>D4*C27</f>
        <v>126.00000000000001</v>
      </c>
      <c r="E27" s="49">
        <f>-D27*($E$6-$D$6)</f>
        <v>-2520.0000000000005</v>
      </c>
      <c r="F27" s="49">
        <f>D27*($D$6-$F$6)*0.8</f>
        <v>2016.0000000000005</v>
      </c>
      <c r="G27" s="32" t="s">
        <v>108</v>
      </c>
      <c r="H27" s="3"/>
      <c r="I27" s="74"/>
      <c r="J27" s="3"/>
      <c r="K27" s="3"/>
      <c r="L27" s="75"/>
      <c r="M27" s="3"/>
      <c r="N27" s="3"/>
      <c r="O27" s="76" t="s">
        <v>109</v>
      </c>
      <c r="P27" s="77">
        <f>D27*$P$15</f>
        <v>78.12</v>
      </c>
      <c r="Q27" s="3"/>
      <c r="R27" s="12" t="s">
        <v>110</v>
      </c>
      <c r="S27" s="78">
        <v>8</v>
      </c>
      <c r="T27" s="3"/>
    </row>
    <row r="28" spans="1:20" ht="20" customHeight="1" x14ac:dyDescent="0.2">
      <c r="A28" s="12" t="s">
        <v>111</v>
      </c>
      <c r="B28" s="89">
        <v>700</v>
      </c>
      <c r="C28" s="90">
        <v>0.2</v>
      </c>
      <c r="D28" s="49">
        <f>B28*C28</f>
        <v>140</v>
      </c>
      <c r="E28" s="49">
        <f>-D28*($E$6-$D$6)</f>
        <v>-2800</v>
      </c>
      <c r="F28" s="49">
        <f>D28*($D$6-$F$6)*0.8</f>
        <v>2240</v>
      </c>
      <c r="G28" s="9" t="s">
        <v>112</v>
      </c>
      <c r="H28" s="3"/>
      <c r="I28" s="3"/>
      <c r="J28" s="3"/>
      <c r="K28" s="3"/>
      <c r="L28" s="75"/>
      <c r="M28" s="3"/>
      <c r="N28" s="3"/>
      <c r="O28" s="76" t="s">
        <v>113</v>
      </c>
      <c r="P28" s="77">
        <f>D27*$P$15</f>
        <v>78.12</v>
      </c>
      <c r="Q28" s="3"/>
      <c r="R28" s="12" t="s">
        <v>114</v>
      </c>
      <c r="S28" s="91">
        <f>SUM(S17:S27)</f>
        <v>411</v>
      </c>
      <c r="T28" s="3"/>
    </row>
    <row r="29" spans="1:20" ht="20" customHeight="1" x14ac:dyDescent="0.2">
      <c r="A29" s="4"/>
      <c r="B29" s="92" t="s">
        <v>115</v>
      </c>
      <c r="C29" s="52">
        <f>D29*D9</f>
        <v>3907.0000000000005</v>
      </c>
      <c r="D29" s="58">
        <f>SUM(D17:D28)</f>
        <v>1302.3333333333335</v>
      </c>
      <c r="E29" s="58">
        <f>SUM(E17:E28)</f>
        <v>-20031.25</v>
      </c>
      <c r="F29" s="58">
        <f>SUM(F17:F28)</f>
        <v>24422</v>
      </c>
      <c r="G29" s="9" t="s">
        <v>116</v>
      </c>
      <c r="H29" s="3"/>
      <c r="I29" s="3"/>
      <c r="J29" s="93"/>
      <c r="K29" s="3"/>
      <c r="L29" s="75"/>
      <c r="M29" s="3"/>
      <c r="N29" s="3"/>
      <c r="O29" s="12" t="s">
        <v>117</v>
      </c>
      <c r="P29" s="94">
        <f>D29*$P$15</f>
        <v>807.44666666666672</v>
      </c>
      <c r="Q29" s="3"/>
      <c r="R29" s="3"/>
      <c r="S29" s="3"/>
      <c r="T29" s="3"/>
    </row>
    <row r="30" spans="1:20" ht="20" customHeight="1" x14ac:dyDescent="0.2">
      <c r="A30" s="4"/>
      <c r="B30" s="3"/>
      <c r="C30" s="92" t="s">
        <v>118</v>
      </c>
      <c r="D30" s="58">
        <f>D14-(D6*$D$29)</f>
        <v>95941.999999999884</v>
      </c>
      <c r="E30" s="58">
        <f>E14-(E6*$D$29)</f>
        <v>67304.533333333209</v>
      </c>
      <c r="F30" s="58">
        <f>F14-(F6*$D$29)</f>
        <v>142096.2666666666</v>
      </c>
      <c r="G30" s="9" t="s">
        <v>119</v>
      </c>
      <c r="H30" s="3"/>
      <c r="I30" s="3"/>
      <c r="J30" s="3"/>
      <c r="K30" s="3"/>
      <c r="L30" s="3"/>
      <c r="M30" s="3"/>
      <c r="N30" s="3"/>
      <c r="O30" s="32" t="s">
        <v>120</v>
      </c>
      <c r="P30" s="3"/>
      <c r="Q30" s="3"/>
      <c r="R30" s="3"/>
      <c r="S30" s="3"/>
      <c r="T30" s="3"/>
    </row>
    <row r="31" spans="1:20" ht="20" customHeight="1" x14ac:dyDescent="0.2">
      <c r="A31" s="4"/>
      <c r="B31" s="3"/>
      <c r="C31" s="69" t="s">
        <v>121</v>
      </c>
      <c r="D31" s="95" t="s">
        <v>122</v>
      </c>
      <c r="E31" s="58">
        <f>D30-E30</f>
        <v>28637.466666666674</v>
      </c>
      <c r="F31" s="58">
        <f>F30-E30</f>
        <v>74791.733333333395</v>
      </c>
      <c r="G31" s="96"/>
      <c r="H31" s="95" t="s">
        <v>123</v>
      </c>
      <c r="I31" s="38">
        <v>90</v>
      </c>
      <c r="J31" s="65" t="s">
        <v>124</v>
      </c>
      <c r="K31" s="3"/>
      <c r="L31" s="3"/>
      <c r="M31" s="97"/>
      <c r="N31" s="98"/>
      <c r="O31" s="9" t="s">
        <v>125</v>
      </c>
      <c r="P31" s="3"/>
      <c r="Q31" s="3"/>
      <c r="R31" s="3"/>
      <c r="S31" s="3"/>
      <c r="T31" s="3"/>
    </row>
    <row r="32" spans="1:20" ht="20" customHeight="1" x14ac:dyDescent="0.2">
      <c r="A32" s="99"/>
      <c r="B32" s="95" t="s">
        <v>126</v>
      </c>
      <c r="C32" s="100" t="s">
        <v>127</v>
      </c>
      <c r="D32" s="100" t="s">
        <v>128</v>
      </c>
      <c r="E32" s="101" t="str">
        <f>D32</f>
        <v>/cow pa</v>
      </c>
      <c r="F32" s="101" t="str">
        <f>E32</f>
        <v>/cow pa</v>
      </c>
      <c r="G32" s="102"/>
      <c r="H32" s="3"/>
      <c r="I32" s="95" t="s">
        <v>129</v>
      </c>
      <c r="J32" s="17" t="s">
        <v>130</v>
      </c>
      <c r="K32" s="17" t="s">
        <v>131</v>
      </c>
      <c r="L32" s="17" t="s">
        <v>132</v>
      </c>
      <c r="M32" s="17" t="s">
        <v>37</v>
      </c>
      <c r="N32" s="103"/>
      <c r="O32" s="3"/>
      <c r="P32" s="3"/>
      <c r="Q32" s="3"/>
      <c r="R32" s="3"/>
      <c r="S32" s="3"/>
      <c r="T32" s="3"/>
    </row>
    <row r="33" spans="1:20" ht="20" customHeight="1" x14ac:dyDescent="0.2">
      <c r="A33" s="12" t="s">
        <v>133</v>
      </c>
      <c r="B33" s="72">
        <v>15000</v>
      </c>
      <c r="C33" s="49">
        <f t="shared" ref="C33:C40" si="2">B33/$D$2</f>
        <v>150</v>
      </c>
      <c r="D33" s="49">
        <f t="shared" ref="D33:D40" si="3">B33/$D$6</f>
        <v>50</v>
      </c>
      <c r="E33" s="49">
        <f t="shared" ref="E33:E40" si="4">B33/$E$6</f>
        <v>46.875</v>
      </c>
      <c r="F33" s="49">
        <f t="shared" ref="F33:F40" si="5">B33/$F$6</f>
        <v>53.571428571428569</v>
      </c>
      <c r="G33" s="32" t="s">
        <v>134</v>
      </c>
      <c r="H33" s="3"/>
      <c r="I33" s="78">
        <v>500</v>
      </c>
      <c r="J33" s="41">
        <v>15</v>
      </c>
      <c r="K33" s="104">
        <f>I31</f>
        <v>90</v>
      </c>
      <c r="L33" s="104">
        <f>K33*J33</f>
        <v>1350</v>
      </c>
      <c r="M33" s="105">
        <f>L33/I33</f>
        <v>2.7</v>
      </c>
      <c r="N33" s="3"/>
      <c r="O33" s="9" t="s">
        <v>135</v>
      </c>
      <c r="P33" s="103"/>
      <c r="Q33" s="3"/>
      <c r="R33" s="3"/>
      <c r="S33" s="3"/>
      <c r="T33" s="3"/>
    </row>
    <row r="34" spans="1:20" ht="20" customHeight="1" x14ac:dyDescent="0.2">
      <c r="A34" s="12" t="s">
        <v>136</v>
      </c>
      <c r="B34" s="72">
        <v>15000</v>
      </c>
      <c r="C34" s="49">
        <f t="shared" si="2"/>
        <v>150</v>
      </c>
      <c r="D34" s="49">
        <f t="shared" si="3"/>
        <v>50</v>
      </c>
      <c r="E34" s="49">
        <f t="shared" si="4"/>
        <v>46.875</v>
      </c>
      <c r="F34" s="49">
        <f t="shared" si="5"/>
        <v>53.571428571428569</v>
      </c>
      <c r="G34" s="32" t="s">
        <v>134</v>
      </c>
      <c r="H34" s="3"/>
      <c r="I34" s="91">
        <f>I33</f>
        <v>500</v>
      </c>
      <c r="J34" s="41">
        <v>16</v>
      </c>
      <c r="K34" s="104">
        <f>K33</f>
        <v>90</v>
      </c>
      <c r="L34" s="104">
        <f>K34*J34</f>
        <v>1440</v>
      </c>
      <c r="M34" s="105">
        <f>L34/I34</f>
        <v>2.88</v>
      </c>
      <c r="N34" s="3"/>
      <c r="O34" s="9" t="s">
        <v>137</v>
      </c>
      <c r="P34" s="3"/>
      <c r="Q34" s="3"/>
      <c r="R34" s="3"/>
      <c r="S34" s="3"/>
      <c r="T34" s="3"/>
    </row>
    <row r="35" spans="1:20" ht="20" customHeight="1" x14ac:dyDescent="0.2">
      <c r="A35" s="12" t="s">
        <v>138</v>
      </c>
      <c r="B35" s="72">
        <v>2000</v>
      </c>
      <c r="C35" s="49">
        <f t="shared" si="2"/>
        <v>20</v>
      </c>
      <c r="D35" s="49">
        <f t="shared" si="3"/>
        <v>6.666666666666667</v>
      </c>
      <c r="E35" s="49">
        <f t="shared" si="4"/>
        <v>6.25</v>
      </c>
      <c r="F35" s="49">
        <f t="shared" si="5"/>
        <v>7.1428571428571432</v>
      </c>
      <c r="G35" s="32" t="s">
        <v>134</v>
      </c>
      <c r="H35" s="3"/>
      <c r="I35" s="91">
        <f>I33</f>
        <v>500</v>
      </c>
      <c r="J35" s="41">
        <v>17</v>
      </c>
      <c r="K35" s="104">
        <f>K33</f>
        <v>90</v>
      </c>
      <c r="L35" s="104">
        <f>K35*J35</f>
        <v>1530</v>
      </c>
      <c r="M35" s="105">
        <f>L35/I35</f>
        <v>3.06</v>
      </c>
      <c r="N35" s="3"/>
      <c r="O35" s="106"/>
      <c r="P35" s="4"/>
      <c r="Q35" s="4"/>
      <c r="R35" s="4"/>
      <c r="S35" s="4"/>
      <c r="T35" s="4"/>
    </row>
    <row r="36" spans="1:20" ht="20" customHeight="1" x14ac:dyDescent="0.2">
      <c r="A36" s="12" t="s">
        <v>139</v>
      </c>
      <c r="B36" s="72">
        <v>1800</v>
      </c>
      <c r="C36" s="49">
        <f t="shared" si="2"/>
        <v>18</v>
      </c>
      <c r="D36" s="49">
        <f t="shared" si="3"/>
        <v>6</v>
      </c>
      <c r="E36" s="49">
        <f t="shared" si="4"/>
        <v>5.625</v>
      </c>
      <c r="F36" s="49">
        <f t="shared" si="5"/>
        <v>6.4285714285714288</v>
      </c>
      <c r="G36" s="32" t="s">
        <v>134</v>
      </c>
      <c r="H36" s="3"/>
      <c r="I36" s="3"/>
      <c r="J36" s="3"/>
      <c r="K36" s="107"/>
      <c r="L36" s="3"/>
      <c r="M36" s="108"/>
      <c r="N36" s="3"/>
      <c r="O36" s="109"/>
      <c r="P36" s="4"/>
      <c r="Q36" s="4"/>
      <c r="R36" s="4"/>
      <c r="S36" s="4"/>
      <c r="T36" s="4"/>
    </row>
    <row r="37" spans="1:20" ht="20" customHeight="1" x14ac:dyDescent="0.2">
      <c r="A37" s="12" t="s">
        <v>140</v>
      </c>
      <c r="B37" s="72">
        <v>1800</v>
      </c>
      <c r="C37" s="49">
        <f t="shared" si="2"/>
        <v>18</v>
      </c>
      <c r="D37" s="49">
        <f t="shared" si="3"/>
        <v>6</v>
      </c>
      <c r="E37" s="49">
        <f t="shared" si="4"/>
        <v>5.625</v>
      </c>
      <c r="F37" s="49">
        <f t="shared" si="5"/>
        <v>6.4285714285714288</v>
      </c>
      <c r="G37" s="32" t="s">
        <v>134</v>
      </c>
      <c r="H37" s="3"/>
      <c r="I37" s="110" t="s">
        <v>141</v>
      </c>
      <c r="J37" s="107"/>
      <c r="K37" s="107"/>
      <c r="L37" s="111"/>
      <c r="M37" s="3"/>
      <c r="N37" s="3"/>
      <c r="O37" s="66"/>
      <c r="P37" s="3"/>
      <c r="Q37" s="4"/>
      <c r="R37" s="4"/>
      <c r="S37" s="4"/>
      <c r="T37" s="4"/>
    </row>
    <row r="38" spans="1:20" ht="20" customHeight="1" x14ac:dyDescent="0.2">
      <c r="A38" s="12" t="s">
        <v>142</v>
      </c>
      <c r="B38" s="72">
        <v>500</v>
      </c>
      <c r="C38" s="49">
        <f t="shared" si="2"/>
        <v>5</v>
      </c>
      <c r="D38" s="49">
        <f t="shared" si="3"/>
        <v>1.6666666666666667</v>
      </c>
      <c r="E38" s="49">
        <f t="shared" si="4"/>
        <v>1.5625</v>
      </c>
      <c r="F38" s="49">
        <f t="shared" si="5"/>
        <v>1.7857142857142858</v>
      </c>
      <c r="G38" s="32" t="s">
        <v>134</v>
      </c>
      <c r="H38" s="3"/>
      <c r="I38" s="112" t="s">
        <v>143</v>
      </c>
      <c r="J38" s="113"/>
      <c r="K38" s="4"/>
      <c r="L38" s="3"/>
      <c r="M38" s="114"/>
      <c r="N38" s="3"/>
      <c r="O38" s="96"/>
      <c r="P38" s="3"/>
      <c r="Q38" s="4"/>
      <c r="R38" s="4"/>
      <c r="S38" s="4"/>
      <c r="T38" s="4"/>
    </row>
    <row r="39" spans="1:20" ht="20" customHeight="1" x14ac:dyDescent="0.2">
      <c r="A39" s="12" t="s">
        <v>144</v>
      </c>
      <c r="B39" s="72">
        <v>3000</v>
      </c>
      <c r="C39" s="49">
        <f t="shared" si="2"/>
        <v>30</v>
      </c>
      <c r="D39" s="49">
        <f t="shared" si="3"/>
        <v>10</v>
      </c>
      <c r="E39" s="49">
        <f t="shared" si="4"/>
        <v>9.375</v>
      </c>
      <c r="F39" s="49">
        <f t="shared" si="5"/>
        <v>10.714285714285714</v>
      </c>
      <c r="G39" s="32" t="s">
        <v>134</v>
      </c>
      <c r="H39" s="4"/>
      <c r="I39" s="115"/>
      <c r="J39" s="115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20" customHeight="1" x14ac:dyDescent="0.2">
      <c r="A40" s="12" t="s">
        <v>145</v>
      </c>
      <c r="B40" s="72">
        <v>100</v>
      </c>
      <c r="C40" s="49">
        <f t="shared" si="2"/>
        <v>1</v>
      </c>
      <c r="D40" s="49">
        <f t="shared" si="3"/>
        <v>0.33333333333333331</v>
      </c>
      <c r="E40" s="49">
        <f t="shared" si="4"/>
        <v>0.3125</v>
      </c>
      <c r="F40" s="49">
        <f t="shared" si="5"/>
        <v>0.35714285714285715</v>
      </c>
      <c r="G40" s="32" t="s">
        <v>134</v>
      </c>
      <c r="H40" s="3"/>
      <c r="I40" s="113"/>
      <c r="J40" s="4"/>
      <c r="K40" s="4"/>
      <c r="L40" s="3"/>
      <c r="M40" s="4"/>
      <c r="N40" s="4"/>
      <c r="O40" s="4"/>
      <c r="P40" s="4"/>
      <c r="Q40" s="4"/>
      <c r="R40" s="4"/>
      <c r="S40" s="4"/>
      <c r="T40" s="4"/>
    </row>
    <row r="41" spans="1:20" ht="20" customHeight="1" x14ac:dyDescent="0.2">
      <c r="A41" s="12" t="s">
        <v>146</v>
      </c>
      <c r="B41" s="116">
        <f>SUM(B33:B40)</f>
        <v>39200</v>
      </c>
      <c r="C41" s="116">
        <f>SUM(C33:C40)</f>
        <v>392</v>
      </c>
      <c r="D41" s="116">
        <f>SUM(D33:D40)</f>
        <v>130.66666666666669</v>
      </c>
      <c r="E41" s="116">
        <f>SUM(E33:E40)</f>
        <v>122.5</v>
      </c>
      <c r="F41" s="116">
        <f>SUM(F33:F40)</f>
        <v>140</v>
      </c>
      <c r="G41" s="67"/>
      <c r="H41" s="3"/>
      <c r="I41" s="115"/>
      <c r="J41" s="113"/>
      <c r="K41" s="4"/>
      <c r="L41" s="3"/>
      <c r="M41" s="3"/>
      <c r="N41" s="3"/>
      <c r="O41" s="3"/>
      <c r="P41" s="3"/>
      <c r="Q41" s="3"/>
      <c r="R41" s="3"/>
      <c r="S41" s="4"/>
      <c r="T41" s="4"/>
    </row>
    <row r="42" spans="1:20" ht="20" customHeight="1" x14ac:dyDescent="0.2">
      <c r="A42" s="4"/>
      <c r="B42" s="12" t="s">
        <v>147</v>
      </c>
      <c r="C42" s="117">
        <f>C29+C41</f>
        <v>4299</v>
      </c>
      <c r="D42" s="117">
        <f>D29+D41</f>
        <v>1433.0000000000002</v>
      </c>
      <c r="E42" s="117">
        <f>D42</f>
        <v>1433.0000000000002</v>
      </c>
      <c r="F42" s="117">
        <f>E42</f>
        <v>1433.0000000000002</v>
      </c>
      <c r="G42" s="4"/>
      <c r="H42" s="4"/>
      <c r="I42" s="4"/>
      <c r="J42" s="115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20" customHeight="1" x14ac:dyDescent="0.2">
      <c r="A43" s="4"/>
      <c r="B43" s="4"/>
      <c r="C43" s="95" t="s">
        <v>148</v>
      </c>
      <c r="D43" s="117">
        <f>D15-D42</f>
        <v>189.13999999999965</v>
      </c>
      <c r="E43" s="117">
        <f>E15-E42</f>
        <v>79.659999999999627</v>
      </c>
      <c r="F43" s="117">
        <f>F15-F42</f>
        <v>376.81999999999971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"/>
      <c r="T43" s="4"/>
    </row>
    <row r="44" spans="1:20" ht="20" customHeight="1" x14ac:dyDescent="0.2">
      <c r="A44" s="4"/>
      <c r="B44" s="4"/>
      <c r="C44" s="95" t="s">
        <v>149</v>
      </c>
      <c r="D44" s="56">
        <f>D43*$D$9</f>
        <v>567.41999999999894</v>
      </c>
      <c r="E44" s="56">
        <f>E43*$D$9</f>
        <v>238.97999999999888</v>
      </c>
      <c r="F44" s="56">
        <f>F43*$D$9</f>
        <v>1130.4599999999991</v>
      </c>
      <c r="G44" s="32" t="s">
        <v>150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20" customHeight="1" x14ac:dyDescent="0.2">
      <c r="A45" s="4"/>
      <c r="B45" s="95" t="s">
        <v>151</v>
      </c>
      <c r="C45" s="95" t="s">
        <v>152</v>
      </c>
      <c r="D45" s="69" t="s">
        <v>128</v>
      </c>
      <c r="E45" s="69" t="s">
        <v>128</v>
      </c>
      <c r="F45" s="69" t="s">
        <v>128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0" customHeight="1" x14ac:dyDescent="0.2">
      <c r="A46" s="12" t="s">
        <v>153</v>
      </c>
      <c r="B46" s="118">
        <v>7250</v>
      </c>
      <c r="C46" s="49">
        <f>B46/$D$2</f>
        <v>72.5</v>
      </c>
      <c r="D46" s="49">
        <f>$C$46/D9</f>
        <v>24.166666666666668</v>
      </c>
      <c r="E46" s="49">
        <f>$C$46/E9</f>
        <v>22.65625</v>
      </c>
      <c r="F46" s="49">
        <f>$C$46/F9</f>
        <v>25.892857142857146</v>
      </c>
      <c r="G46" s="32" t="s">
        <v>134</v>
      </c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20" customHeight="1" x14ac:dyDescent="0.2">
      <c r="A47" s="12" t="s">
        <v>154</v>
      </c>
      <c r="B47" s="118">
        <v>9000</v>
      </c>
      <c r="C47" s="49">
        <f>B47/$D$2</f>
        <v>90</v>
      </c>
      <c r="D47" s="49">
        <f>$C$47/D9</f>
        <v>30</v>
      </c>
      <c r="E47" s="49">
        <f>$C$47/E9</f>
        <v>28.125</v>
      </c>
      <c r="F47" s="49">
        <f>$C$47/F9</f>
        <v>32.142857142857146</v>
      </c>
      <c r="G47" s="32" t="s">
        <v>134</v>
      </c>
      <c r="H47" s="3"/>
      <c r="I47" s="4"/>
      <c r="J47" s="3"/>
      <c r="K47" s="3"/>
      <c r="L47" s="3"/>
      <c r="M47" s="107"/>
      <c r="N47" s="3"/>
      <c r="O47" s="119"/>
      <c r="P47" s="3"/>
      <c r="Q47" s="4"/>
      <c r="R47" s="4"/>
      <c r="S47" s="4"/>
      <c r="T47" s="4"/>
    </row>
    <row r="48" spans="1:20" ht="20" customHeight="1" x14ac:dyDescent="0.2">
      <c r="A48" s="12" t="s">
        <v>155</v>
      </c>
      <c r="B48" s="118">
        <v>25000</v>
      </c>
      <c r="C48" s="49">
        <f>B48/$D$2</f>
        <v>250</v>
      </c>
      <c r="D48" s="49">
        <f>$C$48/D9</f>
        <v>83.333333333333329</v>
      </c>
      <c r="E48" s="49">
        <f>$C$48/E9</f>
        <v>78.125</v>
      </c>
      <c r="F48" s="49">
        <f>$C$48/F9</f>
        <v>89.285714285714292</v>
      </c>
      <c r="G48" s="32" t="s">
        <v>134</v>
      </c>
      <c r="H48" s="3"/>
      <c r="I48" s="4"/>
      <c r="J48" s="3"/>
      <c r="K48" s="3"/>
      <c r="L48" s="87"/>
      <c r="M48" s="74"/>
      <c r="N48" s="3"/>
      <c r="O48" s="119"/>
      <c r="P48" s="3"/>
      <c r="Q48" s="4"/>
      <c r="R48" s="4"/>
      <c r="S48" s="4"/>
      <c r="T48" s="4"/>
    </row>
    <row r="49" spans="1:20" ht="20" customHeight="1" x14ac:dyDescent="0.2">
      <c r="A49" s="12" t="s">
        <v>156</v>
      </c>
      <c r="B49" s="118">
        <v>2500</v>
      </c>
      <c r="C49" s="49">
        <f>B49/$D$2</f>
        <v>25</v>
      </c>
      <c r="D49" s="49">
        <f>$C$49/D9</f>
        <v>8.3333333333333339</v>
      </c>
      <c r="E49" s="49">
        <f>$C$49/E9</f>
        <v>7.8125</v>
      </c>
      <c r="F49" s="49">
        <f>$C$49/F9</f>
        <v>8.9285714285714288</v>
      </c>
      <c r="G49" s="32" t="s">
        <v>134</v>
      </c>
      <c r="H49" s="3"/>
      <c r="I49" s="4"/>
      <c r="J49" s="3"/>
      <c r="K49" s="3"/>
      <c r="L49" s="87"/>
      <c r="M49" s="74"/>
      <c r="N49" s="3"/>
      <c r="O49" s="119"/>
      <c r="P49" s="3"/>
      <c r="Q49" s="4"/>
      <c r="R49" s="4"/>
      <c r="S49" s="4"/>
      <c r="T49" s="4"/>
    </row>
    <row r="50" spans="1:20" ht="20" customHeight="1" x14ac:dyDescent="0.2">
      <c r="A50" s="12" t="s">
        <v>157</v>
      </c>
      <c r="B50" s="118">
        <v>5000</v>
      </c>
      <c r="C50" s="49">
        <f>B50/$D$2</f>
        <v>50</v>
      </c>
      <c r="D50" s="49">
        <f>$C$50/D9</f>
        <v>16.666666666666668</v>
      </c>
      <c r="E50" s="49">
        <f>$C$50/E9</f>
        <v>15.625</v>
      </c>
      <c r="F50" s="49">
        <f>$C$50/F9</f>
        <v>17.857142857142858</v>
      </c>
      <c r="G50" s="32" t="s">
        <v>134</v>
      </c>
      <c r="H50" s="3"/>
      <c r="I50" s="4"/>
      <c r="J50" s="3"/>
      <c r="K50" s="3"/>
      <c r="L50" s="87"/>
      <c r="M50" s="87"/>
      <c r="N50" s="3"/>
      <c r="O50" s="119"/>
      <c r="P50" s="3"/>
      <c r="Q50" s="4"/>
      <c r="R50" s="4"/>
      <c r="S50" s="4"/>
      <c r="T50" s="4"/>
    </row>
    <row r="51" spans="1:20" ht="20" customHeight="1" x14ac:dyDescent="0.2">
      <c r="A51" s="71"/>
      <c r="B51" s="4"/>
      <c r="C51" s="58">
        <f>C46+C47+C48+C49+C50</f>
        <v>487.5</v>
      </c>
      <c r="D51" s="58">
        <f>D46+D47+D48+D49+D50</f>
        <v>162.5</v>
      </c>
      <c r="E51" s="58">
        <f>E46+E47+E48+E49+E50</f>
        <v>152.34375</v>
      </c>
      <c r="F51" s="58">
        <f>F46+F47+F48+F49+F50</f>
        <v>174.10714285714286</v>
      </c>
      <c r="G51" s="4"/>
      <c r="H51" s="3"/>
      <c r="I51" s="4"/>
      <c r="J51" s="3"/>
      <c r="K51" s="3"/>
      <c r="L51" s="87"/>
      <c r="M51" s="87"/>
      <c r="N51" s="3"/>
      <c r="O51" s="119"/>
      <c r="P51" s="3"/>
      <c r="Q51" s="4"/>
      <c r="R51" s="4"/>
      <c r="S51" s="4"/>
      <c r="T51" s="4"/>
    </row>
    <row r="52" spans="1:20" ht="20" customHeight="1" x14ac:dyDescent="0.2">
      <c r="A52" s="4"/>
      <c r="B52" s="95" t="s">
        <v>158</v>
      </c>
      <c r="C52" s="117">
        <f>C51+C42</f>
        <v>4786.5</v>
      </c>
      <c r="D52" s="117">
        <f>D42+D51</f>
        <v>1595.5000000000002</v>
      </c>
      <c r="E52" s="117">
        <f>E42+E51</f>
        <v>1585.3437500000002</v>
      </c>
      <c r="F52" s="117">
        <f>F42+F51</f>
        <v>1607.1071428571431</v>
      </c>
      <c r="G52" s="4"/>
      <c r="H52" s="71"/>
      <c r="I52" s="120"/>
      <c r="J52" s="67"/>
      <c r="K52" s="3"/>
      <c r="L52" s="3"/>
      <c r="M52" s="121"/>
      <c r="N52" s="3"/>
      <c r="O52" s="119"/>
      <c r="P52" s="3"/>
      <c r="Q52" s="4"/>
      <c r="R52" s="4"/>
      <c r="S52" s="4"/>
      <c r="T52" s="4"/>
    </row>
    <row r="53" spans="1:20" ht="20" customHeight="1" x14ac:dyDescent="0.2">
      <c r="A53" s="4"/>
      <c r="B53" s="12" t="s">
        <v>159</v>
      </c>
      <c r="C53" s="49">
        <f>C15-C52</f>
        <v>79.920000000000073</v>
      </c>
      <c r="D53" s="49">
        <f>D15-D52</f>
        <v>26.639999999999645</v>
      </c>
      <c r="E53" s="49">
        <f>E15-E52</f>
        <v>-72.683750000000373</v>
      </c>
      <c r="F53" s="49">
        <f>F15-F52</f>
        <v>202.71285714285682</v>
      </c>
      <c r="G53" s="4"/>
      <c r="H53" s="3"/>
      <c r="I53" s="3"/>
      <c r="J53" s="3"/>
      <c r="K53" s="3"/>
      <c r="L53" s="3"/>
      <c r="M53" s="96"/>
      <c r="N53" s="3"/>
      <c r="O53" s="119"/>
      <c r="P53" s="3"/>
      <c r="Q53" s="4"/>
      <c r="R53" s="4"/>
      <c r="S53" s="4"/>
      <c r="T53" s="4"/>
    </row>
    <row r="54" spans="1:20" ht="20" customHeight="1" x14ac:dyDescent="0.2">
      <c r="A54" s="4"/>
      <c r="B54" s="95" t="s">
        <v>160</v>
      </c>
      <c r="C54" s="122"/>
      <c r="D54" s="117">
        <f>(D15*$D$9)-(D52*$D$9)</f>
        <v>79.919999999999163</v>
      </c>
      <c r="E54" s="117">
        <f>(E15*$D$9)-(E52*$D$9)</f>
        <v>-218.05125000000135</v>
      </c>
      <c r="F54" s="117">
        <f>(F15*$D$9)-(F52*$D$9)</f>
        <v>608.13857142857069</v>
      </c>
      <c r="G54" s="4"/>
      <c r="H54" s="3"/>
      <c r="I54" s="3"/>
      <c r="J54" s="3"/>
      <c r="K54" s="3"/>
      <c r="L54" s="3"/>
      <c r="M54" s="109"/>
      <c r="N54" s="3"/>
      <c r="O54" s="119"/>
      <c r="P54" s="3"/>
      <c r="Q54" s="4"/>
      <c r="R54" s="4"/>
      <c r="S54" s="4"/>
      <c r="T54" s="4"/>
    </row>
    <row r="55" spans="1:20" ht="20" customHeight="1" x14ac:dyDescent="0.2">
      <c r="A55" s="12" t="s">
        <v>161</v>
      </c>
      <c r="B55" s="72">
        <v>2500000</v>
      </c>
      <c r="C55" s="49">
        <f>B55/D2</f>
        <v>25000</v>
      </c>
      <c r="D55" s="57">
        <f t="shared" ref="D55:F55" si="6">$C$55/$D$9*$C$56</f>
        <v>541.66666666666674</v>
      </c>
      <c r="E55" s="57">
        <f t="shared" si="6"/>
        <v>541.66666666666674</v>
      </c>
      <c r="F55" s="57">
        <f t="shared" si="6"/>
        <v>541.66666666666674</v>
      </c>
      <c r="G55" s="32" t="s">
        <v>162</v>
      </c>
      <c r="H55" s="3"/>
      <c r="I55" s="3"/>
      <c r="J55" s="3"/>
      <c r="K55" s="3"/>
      <c r="L55" s="3"/>
      <c r="M55" s="123"/>
      <c r="N55" s="3"/>
      <c r="O55" s="3"/>
      <c r="P55" s="3"/>
      <c r="Q55" s="4"/>
      <c r="R55" s="4"/>
      <c r="S55" s="4"/>
      <c r="T55" s="4"/>
    </row>
    <row r="56" spans="1:20" ht="20" customHeight="1" x14ac:dyDescent="0.2">
      <c r="A56" s="4"/>
      <c r="B56" s="95" t="s">
        <v>163</v>
      </c>
      <c r="C56" s="120">
        <v>6.5000000000000002E-2</v>
      </c>
      <c r="D56" s="117">
        <f>D54-D55</f>
        <v>-461.74666666666758</v>
      </c>
      <c r="E56" s="124">
        <f>E54-E55</f>
        <v>-759.71791666666809</v>
      </c>
      <c r="F56" s="117">
        <f>F54-F55</f>
        <v>66.471904761903943</v>
      </c>
      <c r="G56" s="125"/>
      <c r="H56" s="12" t="s">
        <v>164</v>
      </c>
      <c r="I56" s="126"/>
      <c r="J56" s="32" t="s">
        <v>165</v>
      </c>
      <c r="K56" s="3"/>
      <c r="L56" s="3"/>
      <c r="M56" s="127"/>
      <c r="N56" s="3"/>
      <c r="O56" s="128"/>
      <c r="P56" s="3"/>
      <c r="Q56" s="4"/>
      <c r="R56" s="4"/>
      <c r="S56" s="4"/>
      <c r="T56" s="4"/>
    </row>
    <row r="57" spans="1:20" ht="20" customHeight="1" x14ac:dyDescent="0.2">
      <c r="A57" s="4"/>
      <c r="B57" s="12" t="s">
        <v>166</v>
      </c>
      <c r="C57" s="129">
        <v>18000</v>
      </c>
      <c r="D57" s="3"/>
      <c r="E57" s="12" t="s">
        <v>167</v>
      </c>
      <c r="F57" s="130">
        <f>C52/C57</f>
        <v>0.26591666666666669</v>
      </c>
      <c r="G57" s="9" t="s">
        <v>168</v>
      </c>
      <c r="H57" s="131"/>
      <c r="I57" s="3"/>
      <c r="J57" s="3"/>
      <c r="K57" s="3"/>
      <c r="L57" s="3"/>
      <c r="M57" s="132"/>
      <c r="N57" s="3"/>
      <c r="O57" s="71"/>
      <c r="P57" s="3"/>
      <c r="Q57" s="4"/>
      <c r="R57" s="4"/>
      <c r="S57" s="4"/>
      <c r="T57" s="4"/>
    </row>
    <row r="58" spans="1:20" ht="20" customHeight="1" x14ac:dyDescent="0.2">
      <c r="A58" s="4"/>
      <c r="B58" s="12" t="s">
        <v>169</v>
      </c>
      <c r="C58" s="41">
        <v>8</v>
      </c>
      <c r="D58" s="3"/>
      <c r="E58" s="12" t="s">
        <v>170</v>
      </c>
      <c r="F58" s="130">
        <f>C58*F57</f>
        <v>2.1273333333333335</v>
      </c>
      <c r="G58" s="9" t="s">
        <v>171</v>
      </c>
      <c r="H58" s="3"/>
      <c r="I58" s="3"/>
      <c r="J58" s="3"/>
      <c r="K58" s="3"/>
      <c r="L58" s="3"/>
      <c r="M58" s="133"/>
      <c r="N58" s="3"/>
      <c r="O58" s="3"/>
      <c r="P58" s="3"/>
      <c r="Q58" s="4"/>
      <c r="R58" s="4"/>
      <c r="S58" s="4"/>
      <c r="T58" s="4"/>
    </row>
    <row r="59" spans="1:20" ht="20" customHeight="1" x14ac:dyDescent="0.2">
      <c r="A59" s="4"/>
      <c r="B59" s="12" t="s">
        <v>172</v>
      </c>
      <c r="C59" s="54">
        <f>C58*365</f>
        <v>2920</v>
      </c>
      <c r="D59" s="3"/>
      <c r="E59" s="12" t="s">
        <v>173</v>
      </c>
      <c r="F59" s="134">
        <f>F57*C59</f>
        <v>776.47666666666669</v>
      </c>
      <c r="G59" s="17" t="s">
        <v>174</v>
      </c>
      <c r="H59" s="17" t="s">
        <v>48</v>
      </c>
      <c r="I59" s="17" t="s">
        <v>175</v>
      </c>
      <c r="J59" s="3"/>
      <c r="K59" s="3"/>
      <c r="L59" s="3"/>
      <c r="M59" s="135"/>
      <c r="N59" s="3"/>
      <c r="O59" s="99"/>
      <c r="P59" s="3"/>
      <c r="Q59" s="4"/>
      <c r="R59" s="4"/>
      <c r="S59" s="4"/>
      <c r="T59" s="4"/>
    </row>
    <row r="60" spans="1:20" ht="20" customHeight="1" x14ac:dyDescent="0.2">
      <c r="A60" s="3"/>
      <c r="B60" s="12" t="s">
        <v>176</v>
      </c>
      <c r="C60" s="54">
        <f>C57/2</f>
        <v>9000</v>
      </c>
      <c r="D60" s="3"/>
      <c r="E60" s="12" t="s">
        <v>177</v>
      </c>
      <c r="F60" s="52">
        <f>C60*F57</f>
        <v>2393.25</v>
      </c>
      <c r="G60" s="130">
        <f>D11</f>
        <v>4.5999999999999996</v>
      </c>
      <c r="H60" s="54">
        <f>F60/G60</f>
        <v>520.27173913043487</v>
      </c>
      <c r="I60" s="54">
        <f>D8</f>
        <v>340</v>
      </c>
      <c r="J60" s="3"/>
      <c r="K60" s="3"/>
      <c r="L60" s="3"/>
      <c r="M60" s="135"/>
      <c r="N60" s="3"/>
      <c r="O60" s="99"/>
      <c r="P60" s="3"/>
      <c r="Q60" s="4"/>
      <c r="R60" s="4"/>
      <c r="S60" s="4"/>
      <c r="T60" s="4"/>
    </row>
    <row r="61" spans="1:20" ht="20" customHeight="1" x14ac:dyDescent="0.2">
      <c r="A61" s="12" t="s">
        <v>178</v>
      </c>
      <c r="B61" s="41">
        <v>10</v>
      </c>
      <c r="C61" s="136" t="s">
        <v>179</v>
      </c>
      <c r="D61" s="104">
        <f>D6</f>
        <v>300</v>
      </c>
      <c r="E61" s="136" t="s">
        <v>180</v>
      </c>
      <c r="F61" s="137">
        <f>D61*D11*B61</f>
        <v>13800</v>
      </c>
      <c r="G61" s="9" t="s">
        <v>181</v>
      </c>
      <c r="H61" s="3"/>
      <c r="I61" s="3"/>
      <c r="J61" s="3"/>
      <c r="K61" s="3"/>
      <c r="L61" s="3"/>
      <c r="M61" s="3"/>
      <c r="N61" s="3"/>
      <c r="O61" s="119"/>
      <c r="P61" s="3"/>
      <c r="Q61" s="4"/>
      <c r="R61" s="4"/>
      <c r="S61" s="4"/>
      <c r="T61" s="4"/>
    </row>
    <row r="62" spans="1:20" ht="20" customHeight="1" x14ac:dyDescent="0.2">
      <c r="A62" s="71"/>
      <c r="B62" s="60"/>
      <c r="C62" s="60"/>
      <c r="D62" s="60"/>
      <c r="E62" s="60"/>
      <c r="F62" s="106"/>
      <c r="G62" s="3"/>
      <c r="H62" s="3"/>
      <c r="I62" s="3"/>
      <c r="J62" s="3"/>
      <c r="K62" s="3"/>
      <c r="L62" s="3"/>
      <c r="M62" s="3"/>
      <c r="N62" s="3"/>
      <c r="O62" s="119"/>
      <c r="P62" s="3"/>
      <c r="Q62" s="4"/>
      <c r="R62" s="4"/>
      <c r="S62" s="4"/>
      <c r="T62" s="4"/>
    </row>
    <row r="63" spans="1:20" ht="20" customHeight="1" x14ac:dyDescent="0.2">
      <c r="A63" s="9" t="s">
        <v>182</v>
      </c>
      <c r="B63" s="3"/>
      <c r="C63" s="3"/>
      <c r="D63" s="28"/>
      <c r="E63" s="3"/>
      <c r="F63" s="28"/>
      <c r="G63" s="3"/>
      <c r="H63" s="3"/>
      <c r="I63" s="3"/>
      <c r="J63" s="3"/>
      <c r="K63" s="3"/>
      <c r="L63" s="3"/>
      <c r="M63" s="3"/>
      <c r="N63" s="3"/>
      <c r="O63" s="119"/>
      <c r="P63" s="4"/>
      <c r="Q63" s="4"/>
      <c r="R63" s="4"/>
      <c r="S63" s="4"/>
      <c r="T63" s="4"/>
    </row>
    <row r="64" spans="1:20" ht="20" customHeight="1" x14ac:dyDescent="0.2">
      <c r="A64" s="9" t="s">
        <v>183</v>
      </c>
      <c r="B64" s="3"/>
      <c r="C64" s="3"/>
      <c r="D64" s="28"/>
      <c r="E64" s="3"/>
      <c r="F64" s="28"/>
      <c r="G64" s="3"/>
      <c r="H64" s="3"/>
      <c r="I64" s="3"/>
      <c r="J64" s="3"/>
      <c r="K64" s="3"/>
      <c r="L64" s="3"/>
      <c r="M64" s="3"/>
      <c r="N64" s="3"/>
      <c r="O64" s="119"/>
      <c r="P64" s="4"/>
      <c r="Q64" s="4"/>
      <c r="R64" s="4"/>
      <c r="S64" s="4"/>
      <c r="T64" s="4"/>
    </row>
    <row r="65" spans="1:20" ht="20" customHeight="1" x14ac:dyDescent="0.2">
      <c r="A65" s="9" t="s">
        <v>184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0" customHeight="1" x14ac:dyDescent="0.2">
      <c r="A66" s="9" t="s">
        <v>185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4"/>
      <c r="P66" s="4"/>
      <c r="Q66" s="4"/>
      <c r="R66" s="4"/>
      <c r="S66" s="4"/>
      <c r="T66" s="4"/>
    </row>
    <row r="67" spans="1:20" ht="20" customHeight="1" x14ac:dyDescent="0.2">
      <c r="A67" s="9" t="s">
        <v>186</v>
      </c>
      <c r="B67" s="3"/>
      <c r="C67" s="3"/>
      <c r="D67" s="3"/>
      <c r="E67" s="3"/>
      <c r="F67" s="4"/>
      <c r="G67" s="3"/>
      <c r="H67" s="82"/>
      <c r="I67" s="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0" customHeight="1" x14ac:dyDescent="0.2">
      <c r="A68" s="9" t="s">
        <v>187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0" customHeight="1" x14ac:dyDescent="0.2">
      <c r="A69" s="32" t="s">
        <v>188</v>
      </c>
      <c r="B69" s="3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0" customHeight="1" x14ac:dyDescent="0.2">
      <c r="A70" s="32" t="s">
        <v>189</v>
      </c>
      <c r="B70" s="3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0" customHeight="1" x14ac:dyDescent="0.2">
      <c r="A71" s="9" t="s">
        <v>190</v>
      </c>
      <c r="B71" s="3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0" customHeight="1" x14ac:dyDescent="0.2">
      <c r="A72" s="9" t="s">
        <v>191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0" customHeight="1" x14ac:dyDescent="0.2">
      <c r="A73" s="9" t="s">
        <v>192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0" customHeight="1" x14ac:dyDescent="0.2">
      <c r="A74" s="9" t="s">
        <v>193</v>
      </c>
      <c r="B74" s="3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0" customHeight="1" x14ac:dyDescent="0.2">
      <c r="A75" s="9" t="s">
        <v>194</v>
      </c>
      <c r="B75" s="3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0" customHeight="1" x14ac:dyDescent="0.2">
      <c r="A76" s="32" t="s">
        <v>195</v>
      </c>
      <c r="B76" s="3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0" customHeight="1" x14ac:dyDescent="0.2">
      <c r="A77" s="9" t="s">
        <v>196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0" customHeight="1" x14ac:dyDescent="0.2">
      <c r="A78" s="9" t="s">
        <v>197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7.5" customHeight="1" x14ac:dyDescent="0.2">
      <c r="A79" s="4"/>
      <c r="B79" s="4"/>
      <c r="C79" s="4"/>
      <c r="D79" s="4"/>
      <c r="E79" s="4"/>
      <c r="F79" s="6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6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7.5" customHeight="1" x14ac:dyDescent="0.2">
      <c r="A81" s="13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7.5" customHeight="1" x14ac:dyDescent="0.2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</sheetData>
  <conditionalFormatting sqref="L17:L29 B46:B50">
    <cfRule type="cellIs" dxfId="0" priority="1" stopIfTrue="1" operator="lessThan">
      <formula>0</formula>
    </cfRule>
  </conditionalFormatting>
  <hyperlinks>
    <hyperlink ref="I38" r:id="rId1"/>
  </hyperlinks>
  <pageMargins left="0.432639" right="0.432639" top="0.432639" bottom="0.432639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VaughanJones.xls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2017-02-24T22:27:20Z</dcterms:modified>
</cp:coreProperties>
</file>