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25600" windowHeight="16060"/>
  </bookViews>
  <sheets>
    <sheet name="Fertiliser &amp; Effluent Values.xl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0" i="1" l="1"/>
  <c r="P130" i="1"/>
  <c r="O6" i="1"/>
  <c r="O130" i="1"/>
  <c r="N6" i="1"/>
  <c r="N130" i="1"/>
  <c r="M6" i="1"/>
  <c r="M130" i="1"/>
  <c r="L6" i="1"/>
  <c r="L130" i="1"/>
  <c r="K130" i="1"/>
  <c r="J6" i="1"/>
  <c r="J130" i="1"/>
  <c r="I6" i="1"/>
  <c r="I130" i="1"/>
  <c r="H6" i="1"/>
  <c r="H130" i="1"/>
  <c r="G6" i="1"/>
  <c r="G130" i="1"/>
  <c r="F6" i="1"/>
  <c r="F130" i="1"/>
  <c r="E6" i="1"/>
  <c r="E130" i="1"/>
  <c r="D130" i="1"/>
  <c r="U116" i="1"/>
  <c r="T6" i="1"/>
  <c r="T116" i="1"/>
  <c r="S6" i="1"/>
  <c r="S116" i="1"/>
  <c r="R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F113" i="1"/>
  <c r="D113" i="1"/>
  <c r="R111" i="1"/>
  <c r="J111" i="1"/>
  <c r="I111" i="1"/>
  <c r="G111" i="1"/>
  <c r="F111" i="1"/>
  <c r="D111" i="1"/>
  <c r="B111" i="1"/>
  <c r="B110" i="1"/>
  <c r="T108" i="1"/>
  <c r="R108" i="1"/>
  <c r="N108" i="1"/>
  <c r="M108" i="1"/>
  <c r="L108" i="1"/>
  <c r="D108" i="1"/>
  <c r="N107" i="1"/>
  <c r="M107" i="1"/>
  <c r="K107" i="1"/>
  <c r="I107" i="1"/>
  <c r="H107" i="1"/>
  <c r="G107" i="1"/>
  <c r="F107" i="1"/>
  <c r="D107" i="1"/>
  <c r="B107" i="1"/>
  <c r="U105" i="1"/>
  <c r="J105" i="1"/>
  <c r="I105" i="1"/>
  <c r="H105" i="1"/>
  <c r="G105" i="1"/>
  <c r="F105" i="1"/>
  <c r="D105" i="1"/>
  <c r="B105" i="1"/>
  <c r="G103" i="1"/>
  <c r="F103" i="1"/>
  <c r="E103" i="1"/>
  <c r="D103" i="1"/>
  <c r="B103" i="1"/>
  <c r="E101" i="1"/>
  <c r="D101" i="1"/>
  <c r="D100" i="1"/>
  <c r="G99" i="1"/>
  <c r="F99" i="1"/>
  <c r="D99" i="1"/>
  <c r="B99" i="1"/>
  <c r="D97" i="1"/>
  <c r="B97" i="1"/>
  <c r="G95" i="1"/>
  <c r="F95" i="1"/>
  <c r="E95" i="1"/>
  <c r="D95" i="1"/>
  <c r="B95" i="1"/>
  <c r="G93" i="1"/>
  <c r="F93" i="1"/>
  <c r="E93" i="1"/>
  <c r="D93" i="1"/>
  <c r="B93" i="1"/>
  <c r="S91" i="1"/>
  <c r="R91" i="1"/>
  <c r="O91" i="1"/>
  <c r="N91" i="1"/>
  <c r="M91" i="1"/>
  <c r="L91" i="1"/>
  <c r="J91" i="1"/>
  <c r="I91" i="1"/>
  <c r="H91" i="1"/>
  <c r="G91" i="1"/>
  <c r="F91" i="1"/>
  <c r="E91" i="1"/>
  <c r="D91" i="1"/>
  <c r="B91" i="1"/>
  <c r="S89" i="1"/>
  <c r="R89" i="1"/>
  <c r="O89" i="1"/>
  <c r="N89" i="1"/>
  <c r="M89" i="1"/>
  <c r="L89" i="1"/>
  <c r="J89" i="1"/>
  <c r="I89" i="1"/>
  <c r="H89" i="1"/>
  <c r="G89" i="1"/>
  <c r="F89" i="1"/>
  <c r="E89" i="1"/>
  <c r="D89" i="1"/>
  <c r="B89" i="1"/>
  <c r="S87" i="1"/>
  <c r="R87" i="1"/>
  <c r="O87" i="1"/>
  <c r="N87" i="1"/>
  <c r="M87" i="1"/>
  <c r="L87" i="1"/>
  <c r="J87" i="1"/>
  <c r="I87" i="1"/>
  <c r="H87" i="1"/>
  <c r="G87" i="1"/>
  <c r="F87" i="1"/>
  <c r="E87" i="1"/>
  <c r="D87" i="1"/>
  <c r="D85" i="1"/>
  <c r="B85" i="1"/>
  <c r="T83" i="1"/>
  <c r="D83" i="1"/>
  <c r="B83" i="1"/>
  <c r="S81" i="1"/>
  <c r="D81" i="1"/>
  <c r="B81" i="1"/>
  <c r="R79" i="1"/>
  <c r="D79" i="1"/>
  <c r="B79" i="1"/>
  <c r="O77" i="1"/>
  <c r="D77" i="1"/>
  <c r="B77" i="1"/>
  <c r="N75" i="1"/>
  <c r="D75" i="1"/>
  <c r="B75" i="1"/>
  <c r="M73" i="1"/>
  <c r="D73" i="1"/>
  <c r="B73" i="1"/>
  <c r="L71" i="1"/>
  <c r="D71" i="1"/>
  <c r="B71" i="1"/>
  <c r="G69" i="1"/>
  <c r="F69" i="1"/>
  <c r="E69" i="1"/>
  <c r="D69" i="1"/>
  <c r="B69" i="1"/>
  <c r="D68" i="1"/>
  <c r="G67" i="1"/>
  <c r="F67" i="1"/>
  <c r="E67" i="1"/>
  <c r="D67" i="1"/>
  <c r="B67" i="1"/>
  <c r="J62" i="1"/>
  <c r="I62" i="1"/>
  <c r="H62" i="1"/>
  <c r="G62" i="1"/>
  <c r="F62" i="1"/>
  <c r="E62" i="1"/>
  <c r="D62" i="1"/>
  <c r="B62" i="1"/>
  <c r="S60" i="1"/>
  <c r="N60" i="1"/>
  <c r="L60" i="1"/>
  <c r="J60" i="1"/>
  <c r="I60" i="1"/>
  <c r="H60" i="1"/>
  <c r="G60" i="1"/>
  <c r="F60" i="1"/>
  <c r="E60" i="1"/>
  <c r="D60" i="1"/>
  <c r="B60" i="1"/>
  <c r="G57" i="1"/>
  <c r="F57" i="1"/>
  <c r="E57" i="1"/>
  <c r="D57" i="1"/>
  <c r="B57" i="1"/>
  <c r="H54" i="1"/>
  <c r="H55" i="1"/>
  <c r="G55" i="1"/>
  <c r="F55" i="1"/>
  <c r="E55" i="1"/>
  <c r="D55" i="1"/>
  <c r="B55" i="1"/>
  <c r="J52" i="1"/>
  <c r="J53" i="1"/>
  <c r="Q54" i="1"/>
  <c r="P54" i="1"/>
  <c r="H51" i="1"/>
  <c r="H52" i="1"/>
  <c r="H53" i="1"/>
  <c r="O54" i="1"/>
  <c r="G52" i="1"/>
  <c r="G53" i="1"/>
  <c r="N54" i="1"/>
  <c r="F52" i="1"/>
  <c r="F53" i="1"/>
  <c r="M54" i="1"/>
  <c r="E52" i="1"/>
  <c r="E53" i="1"/>
  <c r="L54" i="1"/>
  <c r="D53" i="1"/>
  <c r="L53" i="1"/>
  <c r="D52" i="1"/>
  <c r="B52" i="1"/>
  <c r="J50" i="1"/>
  <c r="I50" i="1"/>
  <c r="D50" i="1"/>
  <c r="B50" i="1"/>
  <c r="D49" i="1"/>
  <c r="J48" i="1"/>
  <c r="I48" i="1"/>
  <c r="D48" i="1"/>
  <c r="B48" i="1"/>
  <c r="J46" i="1"/>
  <c r="I46" i="1"/>
  <c r="D46" i="1"/>
  <c r="B46" i="1"/>
  <c r="D45" i="1"/>
  <c r="D44" i="1"/>
  <c r="B44" i="1"/>
  <c r="D43" i="1"/>
  <c r="I42" i="1"/>
  <c r="D42" i="1"/>
  <c r="B42" i="1"/>
  <c r="J40" i="1"/>
  <c r="H40" i="1"/>
  <c r="D40" i="1"/>
  <c r="B40" i="1"/>
  <c r="D39" i="1"/>
  <c r="H38" i="1"/>
  <c r="D38" i="1"/>
  <c r="B38" i="1"/>
  <c r="G36" i="1"/>
  <c r="D36" i="1"/>
  <c r="B36" i="1"/>
  <c r="H33" i="1"/>
  <c r="G33" i="1"/>
  <c r="F33" i="1"/>
  <c r="D33" i="1"/>
  <c r="B33" i="1"/>
  <c r="H31" i="1"/>
  <c r="G31" i="1"/>
  <c r="F31" i="1"/>
  <c r="E31" i="1"/>
  <c r="D31" i="1"/>
  <c r="B31" i="1"/>
  <c r="D30" i="1"/>
  <c r="F29" i="1"/>
  <c r="E29" i="1"/>
  <c r="D29" i="1"/>
  <c r="B29" i="1"/>
  <c r="H27" i="1"/>
  <c r="F27" i="1"/>
  <c r="E27" i="1"/>
  <c r="D27" i="1"/>
  <c r="B27" i="1"/>
  <c r="H25" i="1"/>
  <c r="F25" i="1"/>
  <c r="D25" i="1"/>
  <c r="B25" i="1"/>
  <c r="H23" i="1"/>
  <c r="F23" i="1"/>
  <c r="D23" i="1"/>
  <c r="B23" i="1"/>
  <c r="J21" i="1"/>
  <c r="H21" i="1"/>
  <c r="F21" i="1"/>
  <c r="D21" i="1"/>
  <c r="B21" i="1"/>
  <c r="H19" i="1"/>
  <c r="F19" i="1"/>
  <c r="D19" i="1"/>
  <c r="B19" i="1"/>
  <c r="C18" i="1"/>
  <c r="R17" i="1"/>
  <c r="J17" i="1"/>
  <c r="I17" i="1"/>
  <c r="H17" i="1"/>
  <c r="G17" i="1"/>
  <c r="F17" i="1"/>
  <c r="D17" i="1"/>
  <c r="B17" i="1"/>
  <c r="C16" i="1"/>
  <c r="R15" i="1"/>
  <c r="R13" i="1"/>
  <c r="J13" i="1"/>
  <c r="I13" i="1"/>
  <c r="H13" i="1"/>
  <c r="G13" i="1"/>
  <c r="F13" i="1"/>
  <c r="D13" i="1"/>
  <c r="B13" i="1"/>
  <c r="C12" i="1"/>
  <c r="H11" i="1"/>
  <c r="E11" i="1"/>
  <c r="D11" i="1"/>
  <c r="B11" i="1"/>
  <c r="K10" i="1"/>
  <c r="C10" i="1"/>
  <c r="L9" i="1"/>
  <c r="E9" i="1"/>
  <c r="D9" i="1"/>
  <c r="C8" i="1"/>
  <c r="V6" i="1"/>
</calcChain>
</file>

<file path=xl/sharedStrings.xml><?xml version="1.0" encoding="utf-8"?>
<sst xmlns="http://schemas.openxmlformats.org/spreadsheetml/2006/main" count="473" uniqueCount="250">
  <si>
    <t>Fertiliser values</t>
  </si>
  <si>
    <t>Calculate the value of fertilisers by element</t>
  </si>
  <si>
    <t>Values are based on lowest cost elements.</t>
  </si>
  <si>
    <t>Instructions:</t>
  </si>
  <si>
    <t xml:space="preserve">Don’t type over blue cells. They contain formulae. </t>
  </si>
  <si>
    <t>Costs and values of fertilizers in Waikato. Enter your fertiliser costs.</t>
  </si>
  <si>
    <t>2.46 of CaCo3 = 1 of Calcium</t>
  </si>
  <si>
    <t xml:space="preserve">1 kg of calcium carbonate (CaCO3) has 0.4 kg of calcium, or 40% Ca, therefore 97% CaCO3 lime has 39% Ca. </t>
  </si>
  <si>
    <t>Copyright© 1990 GrazingInfo Ltd</t>
  </si>
  <si>
    <t xml:space="preserve">These figures show the value of fertilisers. P was the most important growth element and was too low on many farm, but is now is too high in 90% of farms using soil tests so not applying sufficient calcium which makes P available. </t>
  </si>
  <si>
    <t>Salt</t>
  </si>
  <si>
    <t>Na x 2.7 = salt</t>
  </si>
  <si>
    <t xml:space="preserve">$ are New Zealand. Enter figures in your currency. For your information one NZ$ is 0.7 US$, 0.9 Canadian, 0.4 British pound, 0.9 Australian. </t>
  </si>
  <si>
    <t>Top producing dairy farms have applied about 100 kg of P/ha for decades, and top beef about 60. Taranaki trials show 100 kg P/ha grows the cheapest pasture</t>
  </si>
  <si>
    <t>Organic</t>
  </si>
  <si>
    <t>Boron</t>
  </si>
  <si>
    <t>Selcote</t>
  </si>
  <si>
    <t>If you have fertilsers other than those listed, write over the names of ones you don't have so won't use.</t>
  </si>
  <si>
    <t>Item that is cheapest per kg &gt;</t>
  </si>
  <si>
    <t>See column A for full descriptions of these &gt;</t>
  </si>
  <si>
    <t>Urea</t>
  </si>
  <si>
    <t>Gafsa</t>
  </si>
  <si>
    <t>MoP</t>
  </si>
  <si>
    <t>Durasul</t>
  </si>
  <si>
    <t>Serpentine</t>
  </si>
  <si>
    <t>Calcium</t>
  </si>
  <si>
    <t xml:space="preserve">matter </t>
  </si>
  <si>
    <t>Organibor</t>
  </si>
  <si>
    <t>Cob Su</t>
  </si>
  <si>
    <t>Cop Su</t>
  </si>
  <si>
    <t>Iod S</t>
  </si>
  <si>
    <t>Mn S</t>
  </si>
  <si>
    <t>Molyd</t>
  </si>
  <si>
    <t>Na</t>
  </si>
  <si>
    <t>Zinc S</t>
  </si>
  <si>
    <t>1% Se</t>
  </si>
  <si>
    <t>Iron</t>
  </si>
  <si>
    <t>Dolomite</t>
  </si>
  <si>
    <t>Arsenic</t>
  </si>
  <si>
    <t>Enter rates per hectare or acre in column U to get rates of N, P, K and S/ha or acre.</t>
  </si>
  <si>
    <t>Fertiliser type</t>
  </si>
  <si>
    <t>Lowest cost/kg of elements &gt;</t>
  </si>
  <si>
    <t>Typical Chemical Analysis Magnesium Carbonate 36 – 41%</t>
  </si>
  <si>
    <t>Value is based on lowest cost of elements</t>
  </si>
  <si>
    <t>%N</t>
  </si>
  <si>
    <t>%P</t>
  </si>
  <si>
    <t>%K</t>
  </si>
  <si>
    <t>%S</t>
  </si>
  <si>
    <t>%Mg</t>
  </si>
  <si>
    <t>40%Ca</t>
  </si>
  <si>
    <t>B</t>
  </si>
  <si>
    <t>Co</t>
  </si>
  <si>
    <t>Cu</t>
  </si>
  <si>
    <t>I</t>
  </si>
  <si>
    <t>Mn</t>
  </si>
  <si>
    <t>Mo</t>
  </si>
  <si>
    <t>Zn</t>
  </si>
  <si>
    <t>Se</t>
  </si>
  <si>
    <t>Fe</t>
  </si>
  <si>
    <t>elemental Magnesium 11.5%</t>
  </si>
  <si>
    <t>Costs/kg &amp;/tonne</t>
  </si>
  <si>
    <t xml:space="preserve">Mn is of </t>
  </si>
  <si>
    <t xml:space="preserve">Mo is of </t>
  </si>
  <si>
    <t xml:space="preserve">Fe is of </t>
  </si>
  <si>
    <t>Calcium Carbonate 58 – 61%</t>
  </si>
  <si>
    <t>Value based on lowest cost of elements</t>
  </si>
  <si>
    <t>Value/tonne</t>
  </si>
  <si>
    <t>no value</t>
  </si>
  <si>
    <t>elemental Calcium 24%</t>
  </si>
  <si>
    <t>Sulphate of Ammonia</t>
  </si>
  <si>
    <t>Ca</t>
  </si>
  <si>
    <t>on most</t>
  </si>
  <si>
    <t>Ferric Oxide 0.2 – 0.6%</t>
  </si>
  <si>
    <t>Value/kg</t>
  </si>
  <si>
    <t>/t</t>
  </si>
  <si>
    <t>NZ farms.</t>
  </si>
  <si>
    <t>farms</t>
  </si>
  <si>
    <t>Silicon dioxide 4%</t>
  </si>
  <si>
    <t xml:space="preserve">Gafsa Tunisia RP 40% soluble in 2% citric acid. 13% P. RP is reactive phosphate powder. </t>
  </si>
  <si>
    <t>Costs/tonne</t>
  </si>
  <si>
    <t>If of  value on your farm</t>
  </si>
  <si>
    <t>If of value on your farm</t>
  </si>
  <si>
    <t>Boron 5 ppm</t>
  </si>
  <si>
    <t>enter it</t>
  </si>
  <si>
    <t>Cobalt 2 ppm</t>
  </si>
  <si>
    <t>North Carolina Reactive Phosphate is not recommended because of its high 37 ppm cadmium levels. I wrote about this and importing into New Zealand was stopped.</t>
  </si>
  <si>
    <t>in this column</t>
  </si>
  <si>
    <t>Copper 1 ppm</t>
  </si>
  <si>
    <t xml:space="preserve">Cadmium builds up in soils and animal fat. See Elements &gt; Cadmium &amp; Human Health Elements . </t>
  </si>
  <si>
    <t>Manganese 173 ppm</t>
  </si>
  <si>
    <t xml:space="preserve">Sechura Peru RP 38% soluble in 2% citric acid. 13% P. RP is reactive phosphate powder. </t>
  </si>
  <si>
    <t>Molybdenum 3 ppm</t>
  </si>
  <si>
    <t>Zinc 10 ppm</t>
  </si>
  <si>
    <t>2.46 of CaCo3 = 1 of Ca.</t>
  </si>
  <si>
    <t>Single Superphosphate  90% soluble in 2% citric acid</t>
  </si>
  <si>
    <t>Little sweetening value because with acid</t>
  </si>
  <si>
    <t>Super Plus</t>
  </si>
  <si>
    <t>Element Location, Quantity &amp; Value in Fresh Dung &amp; Urine</t>
  </si>
  <si>
    <t>kg/cow</t>
  </si>
  <si>
    <t>Anchor Dairy</t>
  </si>
  <si>
    <t>Element</t>
  </si>
  <si>
    <t>%</t>
  </si>
  <si>
    <t xml:space="preserve">Dung </t>
  </si>
  <si>
    <t>Urine</t>
  </si>
  <si>
    <t>/day</t>
  </si>
  <si>
    <t>NZ$</t>
  </si>
  <si>
    <t>N</t>
  </si>
  <si>
    <t>$0.50</t>
  </si>
  <si>
    <t xml:space="preserve">Diamonium Phosphate (DAP) </t>
  </si>
  <si>
    <t>P</t>
  </si>
  <si>
    <t>0%</t>
  </si>
  <si>
    <t>$0.10</t>
  </si>
  <si>
    <t xml:space="preserve">Makes pasture unpalatable to animals </t>
  </si>
  <si>
    <t>K</t>
  </si>
  <si>
    <t>$0.28</t>
  </si>
  <si>
    <t>Mono Ammonium Phosphate (MAP)</t>
  </si>
  <si>
    <t>$0.002</t>
  </si>
  <si>
    <t>Total</t>
  </si>
  <si>
    <t>$0.88</t>
  </si>
  <si>
    <t>Ammophos Hycrop</t>
  </si>
  <si>
    <t>day (the first milked are in for only minutes) so the totals have to be divided by 12 to give the per day figure. This equals about NZ$4</t>
  </si>
  <si>
    <t>15% Potassic Super</t>
  </si>
  <si>
    <t xml:space="preserve">Average Waikato, NZ, dairy effluent figures from Environment Waikato show that each cow produces/causes 50 litres of </t>
  </si>
  <si>
    <t>No value because with acid</t>
  </si>
  <si>
    <t xml:space="preserve">effluent/day at two milkings, so 200 cows would produce the following in a year in NZ$. </t>
  </si>
  <si>
    <t xml:space="preserve">Muriate of Potash </t>
  </si>
  <si>
    <t xml:space="preserve">There are 50 tonnes of K in most hectares of land, so think before applying any. Most NZ dairy farms have too much which discourages clovers and aversely affects animal health. Read Elements &gt; Potash. </t>
  </si>
  <si>
    <t>Item</t>
  </si>
  <si>
    <t>Cow/d</t>
  </si>
  <si>
    <t>Cow/Yr</t>
  </si>
  <si>
    <t>200 cows/yr</t>
  </si>
  <si>
    <t>Durasul 100% Elemental S Slow release</t>
  </si>
  <si>
    <t>Nitrogen</t>
  </si>
  <si>
    <t>$0.03</t>
  </si>
  <si>
    <t>$9</t>
  </si>
  <si>
    <t>$1,840</t>
  </si>
  <si>
    <t>Phosphorus</t>
  </si>
  <si>
    <t>$0.01</t>
  </si>
  <si>
    <t>$2</t>
  </si>
  <si>
    <t>$368</t>
  </si>
  <si>
    <t>Gypsum</t>
  </si>
  <si>
    <t>Potassium</t>
  </si>
  <si>
    <t>$4</t>
  </si>
  <si>
    <t>$810</t>
  </si>
  <si>
    <t>Fraction</t>
  </si>
  <si>
    <t>$0</t>
  </si>
  <si>
    <t>$17</t>
  </si>
  <si>
    <t>Sulphur</t>
  </si>
  <si>
    <t>$92</t>
  </si>
  <si>
    <t xml:space="preserve">Boron </t>
  </si>
  <si>
    <t>$19</t>
  </si>
  <si>
    <t>Granmag (30% Mg, 6% S)</t>
  </si>
  <si>
    <t>MAF Te Kuiti Trial Results 1995</t>
  </si>
  <si>
    <t xml:space="preserve">Was not done on an equal cost of element basis. </t>
  </si>
  <si>
    <t>Rorison LimeMag 6</t>
  </si>
  <si>
    <t>Cents to grow 1kg pasture DM</t>
  </si>
  <si>
    <t>Arad 5.6 cents</t>
  </si>
  <si>
    <t xml:space="preserve">Dolomite </t>
  </si>
  <si>
    <t>?</t>
  </si>
  <si>
    <t>Quinphos Egyptian 7.5 cents</t>
  </si>
  <si>
    <t>ppm</t>
  </si>
  <si>
    <t>Gafsa 4.3 cents</t>
  </si>
  <si>
    <t>Agricultural lime Rorison CaCo3 cost</t>
  </si>
  <si>
    <t>North Carolina 4.4 cents USA</t>
  </si>
  <si>
    <t>Sechura  Peru 3.8 cents</t>
  </si>
  <si>
    <t xml:space="preserve">Dairy cow effluent/cow/day </t>
  </si>
  <si>
    <t xml:space="preserve">Effluent gives the best return if spread fresh during each milking. </t>
  </si>
  <si>
    <t xml:space="preserve">One Ecostream travelling irrigator covers a 28 metres (90 ft) diameter and </t>
  </si>
  <si>
    <t>Value delivered Waikato &amp; spread</t>
  </si>
  <si>
    <t>per 200 cows delivered and spread</t>
  </si>
  <si>
    <t xml:space="preserve"> pulls 150 metres (500 ft) of 50 mm (2 inch) pipe. </t>
  </si>
  <si>
    <t>Cow manure dry</t>
  </si>
  <si>
    <t>It has an uncomplicated design with fewer moving parts than ratchet irrigators.</t>
  </si>
  <si>
    <t>S</t>
  </si>
  <si>
    <t>Mg</t>
  </si>
  <si>
    <t>Gravity can operate Ecostreams because they require such low pressure (12 psi).</t>
  </si>
  <si>
    <t>Horse dung dry</t>
  </si>
  <si>
    <t xml:space="preserve">Ecostream is also ideal for spreading dairy effluent because their stall pressure is low.  </t>
  </si>
  <si>
    <t xml:space="preserve">Effluent spread during milking from 200 cows saves about $3,500/year in fertilizer. </t>
  </si>
  <si>
    <t>Analyses</t>
  </si>
  <si>
    <t>Amount % &amp; ppm</t>
  </si>
  <si>
    <t>%Ca</t>
  </si>
  <si>
    <t>%Fe</t>
  </si>
  <si>
    <t>Pb ppm</t>
  </si>
  <si>
    <t>Nickel</t>
  </si>
  <si>
    <t>Silicon</t>
  </si>
  <si>
    <t>Cd</t>
  </si>
  <si>
    <t>Poultry manure fresh &amp; pure. dry Changes with age. Value. Usually sold by m3 = about 0.5 tonnes</t>
  </si>
  <si>
    <t xml:space="preserve">Shifting to the next paddock takes about 20 minutes per irrigator with an ATV. </t>
  </si>
  <si>
    <t>Some is only 3% N, 2% P &amp; 1% K.</t>
  </si>
  <si>
    <t xml:space="preserve">An Ecostream irrigator can also be used to irrigate. Operating 20 hours/day </t>
  </si>
  <si>
    <t>Poulty manure with litter, depending on moisture, age &amp; % of each.</t>
  </si>
  <si>
    <t xml:space="preserve"> can cover one ha/day or 9 ha (23 acres) in nine days before returning. </t>
  </si>
  <si>
    <t>Sheep manure dry</t>
  </si>
  <si>
    <t>Sheep manure pellets</t>
  </si>
  <si>
    <t>20 ppm</t>
  </si>
  <si>
    <t>Nitrosol (dilute 200/1)</t>
  </si>
  <si>
    <t>Boron - OrganiBor best or Ulexite slow release (11% boron)</t>
  </si>
  <si>
    <t>OrganiBor 500 to 700 ppm but only 20 kg per hectare</t>
  </si>
  <si>
    <t>Cobalt Sulphate (21% Co)</t>
  </si>
  <si>
    <t>Copper Hydroxide lump free (24% Cu)</t>
  </si>
  <si>
    <t>Potassium Iodate</t>
  </si>
  <si>
    <t>Salt Coarse Ag. Value is $200 x 2.7 = Na</t>
  </si>
  <si>
    <t>Zinc sulphate Mono (35% Zn)</t>
  </si>
  <si>
    <t>Selcote Ultra slow release (1% Se)</t>
  </si>
  <si>
    <t>Sodium Molybdate</t>
  </si>
  <si>
    <t>Foliafeeds that are not fertilsers</t>
  </si>
  <si>
    <t>Value Rate: 15 litres ($50)/ha for 1-1-1 kg/ha</t>
  </si>
  <si>
    <t>Plant Plasma</t>
  </si>
  <si>
    <t>Coast Biologicals Response Black Label</t>
  </si>
  <si>
    <t xml:space="preserve">Pig effluent. Can contain excess copper. </t>
  </si>
  <si>
    <t>Sewage Sludge</t>
  </si>
  <si>
    <t>Be careful of these because of pollutants.</t>
  </si>
  <si>
    <t>Iron carbonate</t>
  </si>
  <si>
    <t>Wood Ash</t>
  </si>
  <si>
    <t>Milk</t>
  </si>
  <si>
    <t>Slagphos. Takes more than 12 mm of rain to wash slag off leaves because it sticks to them.</t>
  </si>
  <si>
    <t>Glenbrook Slag</t>
  </si>
  <si>
    <t>Toxic &amp; unwanted</t>
  </si>
  <si>
    <t>Takes more than 12 mm of rain to wash slag off leaves because it sticks to them.</t>
  </si>
  <si>
    <t>Script recommended rate 4 kg/ha</t>
  </si>
  <si>
    <t>Be careful of these because of toxic metals such as mercury, cadmium, etc.</t>
  </si>
  <si>
    <t>Viafos guano           Cost/kg</t>
  </si>
  <si>
    <t>Viafos guano         Value/kg</t>
  </si>
  <si>
    <t>Cost/kg</t>
  </si>
  <si>
    <t>Guano</t>
  </si>
  <si>
    <t>Value</t>
  </si>
  <si>
    <t>Seaweed and fish oils in liquid form</t>
  </si>
  <si>
    <t xml:space="preserve">These have to be preserved to stop fermenting and expanding and bursting the container. Formalin was used and after complaints, was repeatedly changed to other preservatives or killers of life. </t>
  </si>
  <si>
    <t xml:space="preserve">Enter yours </t>
  </si>
  <si>
    <t xml:space="preserve">High analysis fertilisers cost less to cart &amp; spread per kg of P. Crop mixes are usually bad value. Even a BoP Co-op rep wrote so in the Exporter. </t>
  </si>
  <si>
    <t>Costs include discounts and rebates where they apply and are ex the Mount port for fertilisers, or as indicated.</t>
  </si>
  <si>
    <t>The P values don't allow for the value of other ingedients, the Total Value/tonne does.</t>
  </si>
  <si>
    <t>The value of other elements only applies if you need them.</t>
  </si>
  <si>
    <t xml:space="preserve">Poultry Manure + litter can vary substantially from the above figures, depending on the litter content and age. </t>
  </si>
  <si>
    <t>Cost</t>
  </si>
  <si>
    <t xml:space="preserve">Abron </t>
  </si>
  <si>
    <t>Ca 9.5% bad if for lick</t>
  </si>
  <si>
    <t>Mg 2.08%</t>
  </si>
  <si>
    <t>Sulphur 2.7%</t>
  </si>
  <si>
    <t>Sodium 15.6%</t>
  </si>
  <si>
    <t>The following are in ppm so so low to be of no value.</t>
  </si>
  <si>
    <t xml:space="preserve">Mn 9300 mg/ kg </t>
  </si>
  <si>
    <t>Zn 6248 mg/kg</t>
  </si>
  <si>
    <t>B  3750 mg/kg bad</t>
  </si>
  <si>
    <t>Cu   2500 mg/kg</t>
  </si>
  <si>
    <t>Co   208 mb\g/kg</t>
  </si>
  <si>
    <t>Se   82 mg/kg</t>
  </si>
  <si>
    <t>I   168 mg/ kg</t>
  </si>
  <si>
    <t>Triple Super  90% soluble in 2% citric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</si>
</sst>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&quot; &quot;;\(&quot;$&quot;#,##0\)"/>
    <numFmt numFmtId="165" formatCode="&quot;$&quot;#,##0"/>
    <numFmt numFmtId="166" formatCode="0.0%"/>
    <numFmt numFmtId="167" formatCode="&quot;$&quot;#,##0.00"/>
    <numFmt numFmtId="168" formatCode="#,##0%&quot; &quot;;\(#,##0%\)"/>
    <numFmt numFmtId="169" formatCode="#,##0.00%"/>
    <numFmt numFmtId="170" formatCode="#,##0%"/>
    <numFmt numFmtId="171" formatCode="#,##0.0%"/>
    <numFmt numFmtId="172" formatCode="&quot;$&quot;#,##0.00&quot; &quot;;\(&quot;$&quot;#,##0.00\)"/>
    <numFmt numFmtId="173" formatCode="0%&quot; &quot;;\(0%\)"/>
    <numFmt numFmtId="174" formatCode="#,##0.0%&quot; &quot;;\(#,##0.0%\)"/>
    <numFmt numFmtId="175" formatCode="0.0%&quot; &quot;;\(0.0%\)"/>
    <numFmt numFmtId="176" formatCode="d&quot;/&quot;m&quot;/&quot;yy"/>
    <numFmt numFmtId="177" formatCode="#,##0.0"/>
    <numFmt numFmtId="178" formatCode="0.000%"/>
    <numFmt numFmtId="179" formatCode="0.00000%"/>
    <numFmt numFmtId="180" formatCode="&quot;$&quot;0.00"/>
    <numFmt numFmtId="181" formatCode="#,##0.000000"/>
  </numFmts>
  <fonts count="16" x14ac:knownFonts="1">
    <font>
      <sz val="10"/>
      <color indexed="8"/>
      <name val="Geneva"/>
    </font>
    <font>
      <b/>
      <sz val="16"/>
      <color indexed="8"/>
      <name val="Times New Roman"/>
    </font>
    <font>
      <b/>
      <sz val="14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u/>
      <sz val="12"/>
      <color indexed="8"/>
      <name val="Times New Roman"/>
    </font>
    <font>
      <sz val="12"/>
      <color indexed="11"/>
      <name val="Times New Roman"/>
    </font>
    <font>
      <b/>
      <u/>
      <sz val="12"/>
      <color indexed="8"/>
      <name val="Times New Roman"/>
    </font>
    <font>
      <b/>
      <sz val="12"/>
      <color indexed="12"/>
      <name val="Times New Roman"/>
    </font>
    <font>
      <sz val="14"/>
      <color indexed="8"/>
      <name val="Times New Roman"/>
    </font>
    <font>
      <sz val="14"/>
      <color indexed="13"/>
      <name val="Times New Roman"/>
    </font>
    <font>
      <sz val="12"/>
      <color indexed="8"/>
      <name val="Helv"/>
    </font>
    <font>
      <sz val="13"/>
      <color indexed="8"/>
      <name val="Times New Roman"/>
    </font>
    <font>
      <i/>
      <sz val="12"/>
      <color indexed="8"/>
      <name val="Times New Roman"/>
    </font>
    <font>
      <sz val="12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2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15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15" fontId="3" fillId="2" borderId="5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right"/>
    </xf>
    <xf numFmtId="167" fontId="3" fillId="3" borderId="4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left"/>
    </xf>
    <xf numFmtId="167" fontId="3" fillId="2" borderId="3" xfId="0" applyNumberFormat="1" applyFont="1" applyFill="1" applyBorder="1" applyAlignment="1">
      <alignment horizontal="left"/>
    </xf>
    <xf numFmtId="167" fontId="3" fillId="3" borderId="4" xfId="0" applyNumberFormat="1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49" fontId="3" fillId="2" borderId="3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49" fontId="3" fillId="2" borderId="9" xfId="0" applyNumberFormat="1" applyFont="1" applyFill="1" applyBorder="1" applyAlignment="1">
      <alignment horizontal="right"/>
    </xf>
    <xf numFmtId="168" fontId="3" fillId="2" borderId="6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right"/>
    </xf>
    <xf numFmtId="170" fontId="3" fillId="2" borderId="3" xfId="0" applyNumberFormat="1" applyFont="1" applyFill="1" applyBorder="1" applyAlignment="1">
      <alignment horizontal="right"/>
    </xf>
    <xf numFmtId="167" fontId="3" fillId="3" borderId="4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169" fontId="3" fillId="2" borderId="12" xfId="0" applyNumberFormat="1" applyFont="1" applyFill="1" applyBorder="1" applyAlignment="1">
      <alignment horizontal="center"/>
    </xf>
    <xf numFmtId="171" fontId="3" fillId="2" borderId="12" xfId="0" applyNumberFormat="1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168" fontId="3" fillId="2" borderId="5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72" fontId="3" fillId="3" borderId="4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center"/>
    </xf>
    <xf numFmtId="170" fontId="3" fillId="2" borderId="1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  <xf numFmtId="49" fontId="3" fillId="2" borderId="1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center"/>
    </xf>
    <xf numFmtId="170" fontId="3" fillId="2" borderId="5" xfId="0" applyNumberFormat="1" applyFont="1" applyFill="1" applyBorder="1" applyAlignment="1">
      <alignment horizontal="center"/>
    </xf>
    <xf numFmtId="170" fontId="3" fillId="2" borderId="2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right"/>
    </xf>
    <xf numFmtId="173" fontId="3" fillId="2" borderId="1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right"/>
    </xf>
    <xf numFmtId="174" fontId="3" fillId="2" borderId="1" xfId="0" applyNumberFormat="1" applyFont="1" applyFill="1" applyBorder="1" applyAlignment="1">
      <alignment horizontal="center"/>
    </xf>
    <xf numFmtId="168" fontId="3" fillId="2" borderId="8" xfId="0" applyNumberFormat="1" applyFont="1" applyFill="1" applyBorder="1" applyAlignment="1">
      <alignment horizontal="center"/>
    </xf>
    <xf numFmtId="168" fontId="3" fillId="2" borderId="11" xfId="0" applyNumberFormat="1" applyFont="1" applyFill="1" applyBorder="1" applyAlignment="1">
      <alignment horizontal="center"/>
    </xf>
    <xf numFmtId="171" fontId="3" fillId="2" borderId="11" xfId="0" applyNumberFormat="1" applyFont="1" applyFill="1" applyBorder="1" applyAlignment="1">
      <alignment horizontal="center"/>
    </xf>
    <xf numFmtId="171" fontId="3" fillId="2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75" fontId="3" fillId="2" borderId="12" xfId="0" applyNumberFormat="1" applyFont="1" applyFill="1" applyBorder="1" applyAlignment="1">
      <alignment horizontal="center"/>
    </xf>
    <xf numFmtId="174" fontId="3" fillId="2" borderId="12" xfId="0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/>
    </xf>
    <xf numFmtId="170" fontId="3" fillId="2" borderId="6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center"/>
    </xf>
    <xf numFmtId="171" fontId="3" fillId="2" borderId="6" xfId="0" applyNumberFormat="1" applyFont="1" applyFill="1" applyBorder="1" applyAlignment="1">
      <alignment horizontal="center"/>
    </xf>
    <xf numFmtId="171" fontId="10" fillId="2" borderId="1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/>
    <xf numFmtId="178" fontId="10" fillId="2" borderId="2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10" fontId="3" fillId="2" borderId="10" xfId="0" applyNumberFormat="1" applyFont="1" applyFill="1" applyBorder="1" applyAlignment="1">
      <alignment horizontal="center"/>
    </xf>
    <xf numFmtId="10" fontId="3" fillId="3" borderId="4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right"/>
    </xf>
    <xf numFmtId="9" fontId="3" fillId="2" borderId="1" xfId="0" applyNumberFormat="1" applyFont="1" applyFill="1" applyBorder="1" applyAlignment="1">
      <alignment horizontal="right"/>
    </xf>
    <xf numFmtId="168" fontId="3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/>
    <xf numFmtId="0" fontId="3" fillId="2" borderId="7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right"/>
    </xf>
    <xf numFmtId="171" fontId="3" fillId="2" borderId="9" xfId="0" applyNumberFormat="1" applyFont="1" applyFill="1" applyBorder="1" applyAlignment="1">
      <alignment horizontal="center"/>
    </xf>
    <xf numFmtId="171" fontId="3" fillId="2" borderId="5" xfId="0" applyNumberFormat="1" applyFont="1" applyFill="1" applyBorder="1" applyAlignment="1">
      <alignment horizontal="center"/>
    </xf>
    <xf numFmtId="167" fontId="3" fillId="2" borderId="6" xfId="0" applyNumberFormat="1" applyFon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right"/>
    </xf>
    <xf numFmtId="171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0" fontId="12" fillId="2" borderId="6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center"/>
    </xf>
    <xf numFmtId="177" fontId="3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/>
    <xf numFmtId="49" fontId="11" fillId="2" borderId="5" xfId="0" applyNumberFormat="1" applyFont="1" applyFill="1" applyBorder="1" applyAlignment="1"/>
    <xf numFmtId="0" fontId="3" fillId="2" borderId="12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/>
    <xf numFmtId="49" fontId="13" fillId="2" borderId="1" xfId="0" applyNumberFormat="1" applyFont="1" applyFill="1" applyBorder="1" applyAlignment="1"/>
    <xf numFmtId="9" fontId="13" fillId="2" borderId="1" xfId="0" applyNumberFormat="1" applyFont="1" applyFill="1" applyBorder="1" applyAlignment="1"/>
    <xf numFmtId="0" fontId="1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168" fontId="3" fillId="2" borderId="2" xfId="0" applyNumberFormat="1" applyFont="1" applyFill="1" applyBorder="1" applyAlignment="1">
      <alignment horizontal="center"/>
    </xf>
    <xf numFmtId="9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70" fontId="3" fillId="2" borderId="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179" fontId="3" fillId="2" borderId="1" xfId="0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171" fontId="3" fillId="2" borderId="5" xfId="0" applyNumberFormat="1" applyFont="1" applyFill="1" applyBorder="1" applyAlignment="1">
      <alignment horizontal="right"/>
    </xf>
    <xf numFmtId="171" fontId="3" fillId="2" borderId="6" xfId="0" applyNumberFormat="1" applyFont="1" applyFill="1" applyBorder="1" applyAlignment="1">
      <alignment horizontal="right"/>
    </xf>
    <xf numFmtId="0" fontId="3" fillId="2" borderId="5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168" fontId="3" fillId="2" borderId="12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171" fontId="3" fillId="2" borderId="2" xfId="0" applyNumberFormat="1" applyFont="1" applyFill="1" applyBorder="1" applyAlignment="1">
      <alignment horizontal="right"/>
    </xf>
    <xf numFmtId="180" fontId="3" fillId="2" borderId="1" xfId="0" applyNumberFormat="1" applyFont="1" applyFill="1" applyBorder="1" applyAlignment="1">
      <alignment horizontal="right"/>
    </xf>
    <xf numFmtId="181" fontId="3" fillId="2" borderId="1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/>
    </xf>
    <xf numFmtId="169" fontId="3" fillId="2" borderId="6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right"/>
    </xf>
    <xf numFmtId="10" fontId="3" fillId="2" borderId="1" xfId="0" applyNumberFormat="1" applyFont="1" applyFill="1" applyBorder="1" applyAlignment="1"/>
    <xf numFmtId="168" fontId="3" fillId="2" borderId="1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70" fontId="3" fillId="2" borderId="14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center"/>
    </xf>
    <xf numFmtId="9" fontId="13" fillId="2" borderId="8" xfId="0" applyNumberFormat="1" applyFont="1" applyFill="1" applyBorder="1" applyAlignment="1">
      <alignment horizontal="center"/>
    </xf>
    <xf numFmtId="9" fontId="13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/>
    <xf numFmtId="49" fontId="15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CFFFF"/>
      <rgbColor rgb="FF993300"/>
      <rgbColor rgb="FFDD2D32"/>
      <rgbColor rgb="FF339966"/>
      <rgbColor rgb="FFFF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4"/>
  <sheetViews>
    <sheetView showGridLines="0" tabSelected="1" workbookViewId="0">
      <selection activeCell="E2" sqref="E2"/>
    </sheetView>
  </sheetViews>
  <sheetFormatPr baseColWidth="10" defaultColWidth="9.7109375" defaultRowHeight="15" customHeight="1" x14ac:dyDescent="0.2"/>
  <cols>
    <col min="1" max="1" width="44.42578125" style="1" customWidth="1"/>
    <col min="2" max="2" width="17" style="1" customWidth="1"/>
    <col min="3" max="3" width="6.85546875" style="1" customWidth="1"/>
    <col min="4" max="4" width="9" style="1" customWidth="1"/>
    <col min="5" max="5" width="6" style="1" customWidth="1"/>
    <col min="6" max="6" width="7.42578125" style="1" customWidth="1"/>
    <col min="7" max="7" width="6.7109375" style="1" customWidth="1"/>
    <col min="8" max="8" width="7.42578125" style="1" customWidth="1"/>
    <col min="9" max="9" width="8.140625" style="1" customWidth="1"/>
    <col min="10" max="10" width="6.85546875" style="1" customWidth="1"/>
    <col min="11" max="11" width="8.42578125" style="1" customWidth="1"/>
    <col min="12" max="12" width="7.42578125" style="1" customWidth="1"/>
    <col min="13" max="13" width="8.85546875" style="1" customWidth="1"/>
    <col min="14" max="14" width="7.42578125" style="1" customWidth="1"/>
    <col min="15" max="15" width="6.85546875" style="1" customWidth="1"/>
    <col min="16" max="16" width="7.85546875" style="1" customWidth="1"/>
    <col min="17" max="17" width="7" style="1" customWidth="1"/>
    <col min="18" max="18" width="9" style="1" customWidth="1"/>
    <col min="19" max="19" width="7.28515625" style="1" customWidth="1"/>
    <col min="20" max="20" width="9" style="1" customWidth="1"/>
    <col min="21" max="21" width="6.28515625" style="1" customWidth="1"/>
    <col min="22" max="22" width="7.28515625" style="1" customWidth="1"/>
    <col min="23" max="23" width="6.42578125" style="1" customWidth="1"/>
    <col min="24" max="24" width="5.42578125" style="1" customWidth="1"/>
    <col min="25" max="25" width="5.7109375" style="1" customWidth="1"/>
    <col min="26" max="35" width="9.7109375" style="1" customWidth="1"/>
    <col min="36" max="256" width="9.7109375" customWidth="1"/>
  </cols>
  <sheetData>
    <row r="1" spans="1:35" ht="18.5" customHeight="1" x14ac:dyDescent="0.2">
      <c r="A1" s="2" t="s">
        <v>0</v>
      </c>
      <c r="B1" s="3" t="s">
        <v>1</v>
      </c>
      <c r="C1" s="4"/>
      <c r="D1" s="5"/>
      <c r="E1" s="6"/>
      <c r="F1" s="6"/>
      <c r="G1" s="6"/>
      <c r="H1" s="3" t="s">
        <v>2</v>
      </c>
      <c r="I1" s="5"/>
      <c r="J1" s="5"/>
      <c r="K1" s="6"/>
      <c r="L1" s="6"/>
      <c r="M1" s="7">
        <v>41329</v>
      </c>
      <c r="N1" s="5"/>
      <c r="O1" s="8"/>
      <c r="P1" s="5"/>
      <c r="Q1" s="6"/>
      <c r="R1" s="6"/>
      <c r="S1" s="6"/>
      <c r="T1" s="6"/>
      <c r="U1" s="6"/>
      <c r="V1" s="6"/>
      <c r="W1" s="6"/>
      <c r="X1" s="9" t="s">
        <v>3</v>
      </c>
      <c r="Y1" s="6"/>
      <c r="Z1" s="10" t="s">
        <v>4</v>
      </c>
      <c r="AA1" s="5"/>
      <c r="AB1" s="5"/>
      <c r="AC1" s="5"/>
      <c r="AD1" s="5"/>
      <c r="AE1" s="5"/>
      <c r="AF1" s="5"/>
      <c r="AG1" s="5"/>
      <c r="AH1" s="5"/>
      <c r="AI1" s="5"/>
    </row>
    <row r="2" spans="1:35" ht="18.5" customHeight="1" x14ac:dyDescent="0.2">
      <c r="A2" s="10" t="s">
        <v>5</v>
      </c>
      <c r="B2" s="6"/>
      <c r="C2" s="11"/>
      <c r="D2" s="6"/>
      <c r="E2" s="6"/>
      <c r="F2" s="6"/>
      <c r="G2" s="6"/>
      <c r="H2" s="6"/>
      <c r="I2" s="12" t="s">
        <v>6</v>
      </c>
      <c r="J2" s="13" t="s">
        <v>7</v>
      </c>
      <c r="K2" s="5"/>
      <c r="L2" s="14"/>
      <c r="M2" s="15"/>
      <c r="N2" s="16"/>
      <c r="O2" s="17"/>
      <c r="P2" s="18"/>
      <c r="Q2" s="6"/>
      <c r="R2" s="6"/>
      <c r="S2" s="6"/>
      <c r="T2" s="6"/>
      <c r="U2" s="6"/>
      <c r="V2" s="6"/>
      <c r="W2" s="6"/>
      <c r="X2" s="9" t="s">
        <v>8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8.5" customHeight="1" x14ac:dyDescent="0.2">
      <c r="A3" s="224" t="s">
        <v>9</v>
      </c>
      <c r="B3" s="6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9"/>
      <c r="P3" s="6"/>
      <c r="Q3" s="6"/>
      <c r="R3" s="20" t="s">
        <v>10</v>
      </c>
      <c r="S3" s="5"/>
      <c r="T3" s="10" t="s">
        <v>11</v>
      </c>
      <c r="U3" s="6"/>
      <c r="V3" s="6"/>
      <c r="W3" s="6"/>
      <c r="X3" s="10" t="s">
        <v>12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5" customHeight="1" x14ac:dyDescent="0.2">
      <c r="A4" s="224" t="s">
        <v>13</v>
      </c>
      <c r="B4" s="6"/>
      <c r="C4" s="4"/>
      <c r="D4" s="6"/>
      <c r="E4" s="6"/>
      <c r="F4" s="6"/>
      <c r="G4" s="6"/>
      <c r="H4" s="6"/>
      <c r="I4" s="6"/>
      <c r="J4" s="6"/>
      <c r="K4" s="21" t="s">
        <v>14</v>
      </c>
      <c r="L4" s="22" t="s">
        <v>15</v>
      </c>
      <c r="M4" s="6"/>
      <c r="N4" s="6"/>
      <c r="O4" s="6"/>
      <c r="P4" s="23"/>
      <c r="Q4" s="6"/>
      <c r="R4" s="24">
        <v>2.7E-2</v>
      </c>
      <c r="S4" s="6"/>
      <c r="T4" s="20" t="s">
        <v>16</v>
      </c>
      <c r="U4" s="6"/>
      <c r="V4" s="6"/>
      <c r="W4" s="6"/>
      <c r="X4" s="10" t="s">
        <v>17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7" customHeight="1" x14ac:dyDescent="0.2">
      <c r="A5" s="10" t="s">
        <v>18</v>
      </c>
      <c r="B5" s="10" t="s">
        <v>19</v>
      </c>
      <c r="C5" s="4"/>
      <c r="D5" s="5"/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25</v>
      </c>
      <c r="K5" s="21" t="s">
        <v>26</v>
      </c>
      <c r="L5" s="25" t="s">
        <v>27</v>
      </c>
      <c r="M5" s="25" t="s">
        <v>28</v>
      </c>
      <c r="N5" s="25" t="s">
        <v>29</v>
      </c>
      <c r="O5" s="25" t="s">
        <v>30</v>
      </c>
      <c r="P5" s="21" t="s">
        <v>31</v>
      </c>
      <c r="Q5" s="21" t="s">
        <v>32</v>
      </c>
      <c r="R5" s="25" t="s">
        <v>33</v>
      </c>
      <c r="S5" s="25" t="s">
        <v>34</v>
      </c>
      <c r="T5" s="26" t="s">
        <v>35</v>
      </c>
      <c r="U5" s="21" t="s">
        <v>36</v>
      </c>
      <c r="V5" s="25" t="s">
        <v>37</v>
      </c>
      <c r="W5" s="25" t="s">
        <v>38</v>
      </c>
      <c r="X5" s="10" t="s">
        <v>39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7" customHeight="1" x14ac:dyDescent="0.2">
      <c r="A6" s="9" t="s">
        <v>40</v>
      </c>
      <c r="B6" s="27"/>
      <c r="C6" s="4"/>
      <c r="D6" s="28" t="s">
        <v>41</v>
      </c>
      <c r="E6" s="29">
        <f>D8/(1000*E8)</f>
        <v>1.7282608695652173</v>
      </c>
      <c r="F6" s="29">
        <f>D12/(1000*F12)</f>
        <v>3.2313432835820897</v>
      </c>
      <c r="G6" s="29">
        <f>D34/(1000*G34)</f>
        <v>1.9</v>
      </c>
      <c r="H6" s="29">
        <f>D37/(1000*H37)</f>
        <v>0.39</v>
      </c>
      <c r="I6" s="29">
        <f>D41/(1000*I41)</f>
        <v>0.43043478260869567</v>
      </c>
      <c r="J6" s="29">
        <f>D47/(1000*J49)</f>
        <v>0.51282051282051277</v>
      </c>
      <c r="K6" s="30"/>
      <c r="L6" s="29">
        <f>$D70/(1000*L70)</f>
        <v>16.363636363636363</v>
      </c>
      <c r="M6" s="31">
        <f>$D72/(1000*M72)</f>
        <v>95.238095238095241</v>
      </c>
      <c r="N6" s="29">
        <f>$D74/(1000*N74)</f>
        <v>10.416666666666666</v>
      </c>
      <c r="O6" s="29">
        <f>$D76/(1000*O76)</f>
        <v>30</v>
      </c>
      <c r="P6" s="32"/>
      <c r="Q6" s="33"/>
      <c r="R6" s="34">
        <f>$D78/(1000*R78)</f>
        <v>6.2962962962962967</v>
      </c>
      <c r="S6" s="34">
        <f>$D80/(1000*S80)</f>
        <v>4.5714285714285712</v>
      </c>
      <c r="T6" s="35">
        <f>$D82/(1000*T82)</f>
        <v>750</v>
      </c>
      <c r="U6" s="36"/>
      <c r="V6" s="35">
        <f>$D47/(1000*V47)</f>
        <v>1</v>
      </c>
      <c r="W6" s="35"/>
      <c r="X6" s="37" t="s">
        <v>42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7" customHeight="1" x14ac:dyDescent="0.2">
      <c r="A7" s="13" t="s">
        <v>43</v>
      </c>
      <c r="B7" s="38"/>
      <c r="C7" s="39"/>
      <c r="D7" s="5"/>
      <c r="E7" s="40" t="s">
        <v>44</v>
      </c>
      <c r="F7" s="40" t="s">
        <v>45</v>
      </c>
      <c r="G7" s="40" t="s">
        <v>46</v>
      </c>
      <c r="H7" s="40" t="s">
        <v>47</v>
      </c>
      <c r="I7" s="40" t="s">
        <v>48</v>
      </c>
      <c r="J7" s="40" t="s">
        <v>49</v>
      </c>
      <c r="K7" s="41"/>
      <c r="L7" s="40" t="s">
        <v>50</v>
      </c>
      <c r="M7" s="40" t="s">
        <v>51</v>
      </c>
      <c r="N7" s="40" t="s">
        <v>52</v>
      </c>
      <c r="O7" s="40" t="s">
        <v>53</v>
      </c>
      <c r="P7" s="42" t="s">
        <v>54</v>
      </c>
      <c r="Q7" s="42" t="s">
        <v>55</v>
      </c>
      <c r="R7" s="40" t="s">
        <v>33</v>
      </c>
      <c r="S7" s="40" t="s">
        <v>56</v>
      </c>
      <c r="T7" s="40" t="s">
        <v>57</v>
      </c>
      <c r="U7" s="42" t="s">
        <v>58</v>
      </c>
      <c r="V7" s="43"/>
      <c r="W7" s="43"/>
      <c r="X7" s="10" t="s">
        <v>59</v>
      </c>
      <c r="Y7" s="14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7" customHeight="1" x14ac:dyDescent="0.2">
      <c r="A8" s="10" t="s">
        <v>20</v>
      </c>
      <c r="B8" s="44" t="s">
        <v>60</v>
      </c>
      <c r="C8" s="29">
        <f>D8/1000</f>
        <v>0.79500000000000004</v>
      </c>
      <c r="D8" s="45">
        <v>795</v>
      </c>
      <c r="E8" s="46">
        <v>0.46</v>
      </c>
      <c r="F8" s="38"/>
      <c r="G8" s="38"/>
      <c r="H8" s="38"/>
      <c r="I8" s="38"/>
      <c r="J8" s="5"/>
      <c r="K8" s="5"/>
      <c r="L8" s="14"/>
      <c r="M8" s="14"/>
      <c r="N8" s="5"/>
      <c r="O8" s="47"/>
      <c r="P8" s="10" t="s">
        <v>61</v>
      </c>
      <c r="Q8" s="10" t="s">
        <v>62</v>
      </c>
      <c r="R8" s="14"/>
      <c r="S8" s="14"/>
      <c r="T8" s="14"/>
      <c r="U8" s="10" t="s">
        <v>63</v>
      </c>
      <c r="V8" s="5"/>
      <c r="W8" s="5"/>
      <c r="X8" s="10" t="s">
        <v>64</v>
      </c>
      <c r="Y8" s="14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7" customHeight="1" x14ac:dyDescent="0.2">
      <c r="A9" s="48" t="s">
        <v>65</v>
      </c>
      <c r="B9" s="49" t="s">
        <v>66</v>
      </c>
      <c r="C9" s="50"/>
      <c r="D9" s="31">
        <f>SUM(E9:V9)</f>
        <v>3255</v>
      </c>
      <c r="E9" s="31">
        <f>1000*E8*E$6</f>
        <v>795</v>
      </c>
      <c r="F9" s="51"/>
      <c r="G9" s="38"/>
      <c r="H9" s="38"/>
      <c r="I9" s="38"/>
      <c r="J9" s="38"/>
      <c r="K9" s="14"/>
      <c r="L9" s="14">
        <f>1000*2.46</f>
        <v>2460</v>
      </c>
      <c r="M9" s="14"/>
      <c r="N9" s="14"/>
      <c r="O9" s="14"/>
      <c r="P9" s="10" t="s">
        <v>67</v>
      </c>
      <c r="Q9" s="10" t="s">
        <v>67</v>
      </c>
      <c r="R9" s="14"/>
      <c r="S9" s="14"/>
      <c r="T9" s="14"/>
      <c r="U9" s="10" t="s">
        <v>67</v>
      </c>
      <c r="V9" s="5"/>
      <c r="W9" s="5"/>
      <c r="X9" s="10" t="s">
        <v>68</v>
      </c>
      <c r="Y9" s="14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7" customHeight="1" x14ac:dyDescent="0.2">
      <c r="A10" s="10" t="s">
        <v>69</v>
      </c>
      <c r="B10" s="52" t="s">
        <v>60</v>
      </c>
      <c r="C10" s="29">
        <f>D10/1000</f>
        <v>0.40200000000000002</v>
      </c>
      <c r="D10" s="53">
        <v>402</v>
      </c>
      <c r="E10" s="54">
        <v>0.21</v>
      </c>
      <c r="F10" s="38"/>
      <c r="G10" s="38"/>
      <c r="H10" s="46">
        <v>0.24</v>
      </c>
      <c r="I10" s="38">
        <v>1000</v>
      </c>
      <c r="J10" s="55">
        <v>0.4</v>
      </c>
      <c r="K10" s="55">
        <f>I10*J10</f>
        <v>400</v>
      </c>
      <c r="L10" s="10" t="s">
        <v>70</v>
      </c>
      <c r="M10" s="14"/>
      <c r="N10" s="14"/>
      <c r="O10" s="14"/>
      <c r="P10" s="10" t="s">
        <v>71</v>
      </c>
      <c r="Q10" s="10" t="s">
        <v>71</v>
      </c>
      <c r="R10" s="14"/>
      <c r="S10" s="14"/>
      <c r="T10" s="14"/>
      <c r="U10" s="10" t="s">
        <v>71</v>
      </c>
      <c r="V10" s="5"/>
      <c r="W10" s="5"/>
      <c r="X10" s="10" t="s">
        <v>72</v>
      </c>
      <c r="Y10" s="14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7" customHeight="1" x14ac:dyDescent="0.2">
      <c r="A11" s="44" t="s">
        <v>73</v>
      </c>
      <c r="B11" s="34">
        <f>D11/210</f>
        <v>2.173975155279503</v>
      </c>
      <c r="C11" s="56" t="s">
        <v>74</v>
      </c>
      <c r="D11" s="31">
        <f>SUM(E11:T11)</f>
        <v>456.53478260869565</v>
      </c>
      <c r="E11" s="31">
        <f>1000*E10*E$6</f>
        <v>362.93478260869563</v>
      </c>
      <c r="F11" s="51"/>
      <c r="G11" s="57"/>
      <c r="H11" s="31">
        <f>1000*H10*H$6</f>
        <v>93.600000000000009</v>
      </c>
      <c r="I11" s="58"/>
      <c r="J11" s="38"/>
      <c r="K11" s="14"/>
      <c r="L11" s="14"/>
      <c r="M11" s="14"/>
      <c r="N11" s="14"/>
      <c r="O11" s="14"/>
      <c r="P11" s="10" t="s">
        <v>75</v>
      </c>
      <c r="Q11" s="10" t="s">
        <v>75</v>
      </c>
      <c r="R11" s="14"/>
      <c r="S11" s="14"/>
      <c r="T11" s="14"/>
      <c r="U11" s="10" t="s">
        <v>76</v>
      </c>
      <c r="V11" s="5"/>
      <c r="W11" s="5"/>
      <c r="X11" s="10" t="s">
        <v>77</v>
      </c>
      <c r="Y11" s="14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7" customHeight="1" x14ac:dyDescent="0.2">
      <c r="A12" s="10" t="s">
        <v>78</v>
      </c>
      <c r="B12" s="59" t="s">
        <v>79</v>
      </c>
      <c r="C12" s="29">
        <f>D12/1000</f>
        <v>0.433</v>
      </c>
      <c r="D12" s="53">
        <v>433</v>
      </c>
      <c r="E12" s="60"/>
      <c r="F12" s="61">
        <v>0.13400000000000001</v>
      </c>
      <c r="G12" s="62">
        <v>1.8E-3</v>
      </c>
      <c r="H12" s="63">
        <v>8.0000000000000002E-3</v>
      </c>
      <c r="I12" s="64">
        <v>2.5000000000000001E-3</v>
      </c>
      <c r="J12" s="61">
        <v>0.35299999999999998</v>
      </c>
      <c r="K12" s="14"/>
      <c r="L12" s="14"/>
      <c r="M12" s="14"/>
      <c r="N12" s="14"/>
      <c r="O12" s="14"/>
      <c r="P12" s="49" t="s">
        <v>80</v>
      </c>
      <c r="Q12" s="65">
        <v>0.05</v>
      </c>
      <c r="R12" s="66">
        <v>1.2E-2</v>
      </c>
      <c r="S12" s="14"/>
      <c r="T12" s="14"/>
      <c r="U12" s="10" t="s">
        <v>81</v>
      </c>
      <c r="V12" s="5"/>
      <c r="W12" s="5"/>
      <c r="X12" s="10" t="s">
        <v>82</v>
      </c>
      <c r="Y12" s="14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7" customHeight="1" x14ac:dyDescent="0.2">
      <c r="A13" s="44" t="s">
        <v>73</v>
      </c>
      <c r="B13" s="34">
        <f>D13/210</f>
        <v>2.9617415618198226</v>
      </c>
      <c r="C13" s="56" t="s">
        <v>74</v>
      </c>
      <c r="D13" s="31">
        <f>SUM(E13:T13)</f>
        <v>621.96572798216278</v>
      </c>
      <c r="E13" s="67"/>
      <c r="F13" s="31">
        <f>1000*F12*F$6</f>
        <v>433</v>
      </c>
      <c r="G13" s="31">
        <f>1000*G12*G$6</f>
        <v>3.42</v>
      </c>
      <c r="H13" s="31">
        <f>1000*H12*H$6</f>
        <v>3.12</v>
      </c>
      <c r="I13" s="31">
        <f>1000*I12*I$6</f>
        <v>1.0760869565217392</v>
      </c>
      <c r="J13" s="31">
        <f>1000*J12*J$6</f>
        <v>181.02564102564102</v>
      </c>
      <c r="K13" s="68"/>
      <c r="L13" s="14"/>
      <c r="M13" s="14"/>
      <c r="N13" s="14"/>
      <c r="O13" s="14"/>
      <c r="P13" s="22" t="s">
        <v>83</v>
      </c>
      <c r="Q13" s="69"/>
      <c r="R13" s="70">
        <f>1000*R12*R$4</f>
        <v>0.32400000000000001</v>
      </c>
      <c r="S13" s="68"/>
      <c r="T13" s="14"/>
      <c r="U13" s="10" t="s">
        <v>83</v>
      </c>
      <c r="V13" s="5"/>
      <c r="W13" s="5"/>
      <c r="X13" s="10" t="s">
        <v>84</v>
      </c>
      <c r="Y13" s="14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7" customHeight="1" x14ac:dyDescent="0.2">
      <c r="A14" s="10" t="s">
        <v>85</v>
      </c>
      <c r="B14" s="71"/>
      <c r="C14" s="29"/>
      <c r="D14" s="31"/>
      <c r="E14" s="51"/>
      <c r="F14" s="63"/>
      <c r="G14" s="72"/>
      <c r="H14" s="73"/>
      <c r="I14" s="72"/>
      <c r="J14" s="73"/>
      <c r="K14" s="14"/>
      <c r="L14" s="14"/>
      <c r="M14" s="14"/>
      <c r="N14" s="14"/>
      <c r="O14" s="14"/>
      <c r="P14" s="49" t="s">
        <v>86</v>
      </c>
      <c r="Q14" s="65">
        <v>0.05</v>
      </c>
      <c r="R14" s="74">
        <v>8.9999999999999993E-3</v>
      </c>
      <c r="S14" s="14"/>
      <c r="T14" s="14"/>
      <c r="U14" s="10" t="s">
        <v>86</v>
      </c>
      <c r="V14" s="5"/>
      <c r="W14" s="5"/>
      <c r="X14" s="10" t="s">
        <v>87</v>
      </c>
      <c r="Y14" s="14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7" customHeight="1" x14ac:dyDescent="0.2">
      <c r="A15" s="75" t="s">
        <v>88</v>
      </c>
      <c r="B15" s="34"/>
      <c r="C15" s="76"/>
      <c r="D15" s="31"/>
      <c r="E15" s="30"/>
      <c r="F15" s="31"/>
      <c r="G15" s="31"/>
      <c r="H15" s="31"/>
      <c r="I15" s="31"/>
      <c r="J15" s="31"/>
      <c r="K15" s="68"/>
      <c r="L15" s="14"/>
      <c r="M15" s="14"/>
      <c r="N15" s="14"/>
      <c r="O15" s="14"/>
      <c r="P15" s="14"/>
      <c r="Q15" s="69"/>
      <c r="R15" s="70">
        <f>1000*R14*R$4</f>
        <v>0.24299999999999999</v>
      </c>
      <c r="S15" s="68"/>
      <c r="T15" s="14"/>
      <c r="U15" s="14"/>
      <c r="V15" s="5"/>
      <c r="W15" s="5"/>
      <c r="X15" s="10" t="s">
        <v>89</v>
      </c>
      <c r="Y15" s="14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7" customHeight="1" x14ac:dyDescent="0.2">
      <c r="A16" s="48" t="s">
        <v>90</v>
      </c>
      <c r="B16" s="59" t="s">
        <v>79</v>
      </c>
      <c r="C16" s="29">
        <f>D16/1000</f>
        <v>0.4</v>
      </c>
      <c r="D16" s="31">
        <v>400</v>
      </c>
      <c r="E16" s="77"/>
      <c r="F16" s="63">
        <v>0.129</v>
      </c>
      <c r="G16" s="72">
        <v>1E-4</v>
      </c>
      <c r="H16" s="63">
        <v>1.6E-2</v>
      </c>
      <c r="I16" s="78">
        <v>3.2000000000000002E-3</v>
      </c>
      <c r="J16" s="63">
        <v>0.33400000000000002</v>
      </c>
      <c r="K16" s="14"/>
      <c r="L16" s="14"/>
      <c r="M16" s="14"/>
      <c r="N16" s="14"/>
      <c r="O16" s="14"/>
      <c r="P16" s="14"/>
      <c r="Q16" s="65">
        <v>0.3</v>
      </c>
      <c r="R16" s="74">
        <v>1.6E-2</v>
      </c>
      <c r="S16" s="14"/>
      <c r="T16" s="14"/>
      <c r="U16" s="14"/>
      <c r="V16" s="5"/>
      <c r="W16" s="5"/>
      <c r="X16" s="10" t="s">
        <v>91</v>
      </c>
      <c r="Y16" s="14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7" customHeight="1" x14ac:dyDescent="0.2">
      <c r="A17" s="44" t="s">
        <v>73</v>
      </c>
      <c r="B17" s="34">
        <f>D17/210</f>
        <v>2.8398320293737558</v>
      </c>
      <c r="C17" s="56" t="s">
        <v>74</v>
      </c>
      <c r="D17" s="31">
        <f>SUM(E17:T17)</f>
        <v>596.36472616848869</v>
      </c>
      <c r="E17" s="30"/>
      <c r="F17" s="31">
        <f>1000*F16*F$6</f>
        <v>416.84328358208955</v>
      </c>
      <c r="G17" s="79">
        <f>1000*G16*G$6</f>
        <v>0.19</v>
      </c>
      <c r="H17" s="79">
        <f>1000*H16*H$6</f>
        <v>6.24</v>
      </c>
      <c r="I17" s="79">
        <f>1000*I16*I$6</f>
        <v>1.3773913043478263</v>
      </c>
      <c r="J17" s="79">
        <f>1000*J16*J$6</f>
        <v>171.28205128205127</v>
      </c>
      <c r="K17" s="68"/>
      <c r="L17" s="14"/>
      <c r="M17" s="14"/>
      <c r="N17" s="14"/>
      <c r="O17" s="14"/>
      <c r="P17" s="14"/>
      <c r="Q17" s="80"/>
      <c r="R17" s="70">
        <f>1000*R16*R$4</f>
        <v>0.432</v>
      </c>
      <c r="S17" s="68"/>
      <c r="T17" s="14"/>
      <c r="U17" s="14"/>
      <c r="V17" s="5"/>
      <c r="W17" s="5"/>
      <c r="X17" s="10" t="s">
        <v>92</v>
      </c>
      <c r="Y17" s="14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7" customHeight="1" x14ac:dyDescent="0.2">
      <c r="A18" s="48" t="s">
        <v>249</v>
      </c>
      <c r="B18" s="59" t="s">
        <v>79</v>
      </c>
      <c r="C18" s="29">
        <f>D18/1000</f>
        <v>0.65</v>
      </c>
      <c r="D18" s="31">
        <v>650</v>
      </c>
      <c r="E18" s="51"/>
      <c r="F18" s="54">
        <v>0.21</v>
      </c>
      <c r="G18" s="81"/>
      <c r="H18" s="82">
        <v>0.02</v>
      </c>
      <c r="I18" s="81"/>
      <c r="J18" s="83" t="s">
        <v>93</v>
      </c>
      <c r="K18" s="14"/>
      <c r="L18" s="14"/>
      <c r="M18" s="14"/>
      <c r="N18" s="14"/>
      <c r="O18" s="14"/>
      <c r="P18" s="14"/>
      <c r="Q18" s="14"/>
      <c r="R18" s="84"/>
      <c r="S18" s="14"/>
      <c r="T18" s="14"/>
      <c r="U18" s="14"/>
      <c r="V18" s="14"/>
      <c r="W18" s="14"/>
      <c r="X18" s="14"/>
      <c r="Y18" s="14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7" customHeight="1" x14ac:dyDescent="0.2">
      <c r="A19" s="44" t="s">
        <v>73</v>
      </c>
      <c r="B19" s="34">
        <f>D19/210</f>
        <v>3.2684861407249466</v>
      </c>
      <c r="C19" s="85" t="s">
        <v>74</v>
      </c>
      <c r="D19" s="31">
        <f>SUM(E19:T19)</f>
        <v>686.38208955223877</v>
      </c>
      <c r="E19" s="30"/>
      <c r="F19" s="31">
        <f>1000*F18*F$6</f>
        <v>678.58208955223881</v>
      </c>
      <c r="G19" s="30"/>
      <c r="H19" s="31">
        <f>1000*H18*H$6</f>
        <v>7.8000000000000007</v>
      </c>
      <c r="I19" s="51"/>
      <c r="J19" s="3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7" customHeight="1" x14ac:dyDescent="0.2">
      <c r="A20" s="48" t="s">
        <v>94</v>
      </c>
      <c r="B20" s="86" t="s">
        <v>79</v>
      </c>
      <c r="C20" s="87">
        <v>18</v>
      </c>
      <c r="D20" s="31">
        <v>350</v>
      </c>
      <c r="E20" s="88"/>
      <c r="F20" s="63">
        <v>8.6999999999999994E-2</v>
      </c>
      <c r="G20" s="38"/>
      <c r="H20" s="54">
        <v>0.11</v>
      </c>
      <c r="I20" s="38"/>
      <c r="J20" s="89">
        <v>0.2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7" customHeight="1" x14ac:dyDescent="0.2">
      <c r="A21" s="44" t="s">
        <v>73</v>
      </c>
      <c r="B21" s="34">
        <f>D21/210</f>
        <v>1.7871853188271096</v>
      </c>
      <c r="C21" s="90" t="s">
        <v>74</v>
      </c>
      <c r="D21" s="31">
        <f>SUM(E21:T21)</f>
        <v>375.30891695369303</v>
      </c>
      <c r="E21" s="30"/>
      <c r="F21" s="31">
        <f>1000*F20*F$6</f>
        <v>281.12686567164178</v>
      </c>
      <c r="G21" s="30"/>
      <c r="H21" s="31">
        <f>1000*H20*H$6</f>
        <v>42.9</v>
      </c>
      <c r="I21" s="30"/>
      <c r="J21" s="79">
        <f>1000*J20*J$6/2</f>
        <v>51.282051282051277</v>
      </c>
      <c r="K21" s="37" t="s">
        <v>95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7" customHeight="1" x14ac:dyDescent="0.2">
      <c r="A22" s="48" t="s">
        <v>96</v>
      </c>
      <c r="B22" s="86" t="s">
        <v>79</v>
      </c>
      <c r="C22" s="87">
        <v>18</v>
      </c>
      <c r="D22" s="31">
        <v>380</v>
      </c>
      <c r="E22" s="51"/>
      <c r="F22" s="91">
        <v>0.15</v>
      </c>
      <c r="G22" s="38"/>
      <c r="H22" s="54">
        <v>7.0000000000000007E-2</v>
      </c>
      <c r="I22" s="38"/>
      <c r="J22" s="81"/>
      <c r="K22" s="14"/>
      <c r="L22" s="14"/>
      <c r="M22" s="13" t="s">
        <v>97</v>
      </c>
      <c r="N22" s="14"/>
      <c r="O22" s="14"/>
      <c r="P22" s="14"/>
      <c r="Q22" s="14"/>
      <c r="R22" s="14"/>
      <c r="S22" s="14"/>
      <c r="T22" s="14"/>
      <c r="U22" s="1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7" customHeight="1" x14ac:dyDescent="0.2">
      <c r="A23" s="44" t="s">
        <v>73</v>
      </c>
      <c r="B23" s="34">
        <f>D23/210</f>
        <v>2.4381023454157784</v>
      </c>
      <c r="C23" s="90" t="s">
        <v>74</v>
      </c>
      <c r="D23" s="31">
        <f>SUM(E23:T23)</f>
        <v>512.00149253731342</v>
      </c>
      <c r="E23" s="30"/>
      <c r="F23" s="31">
        <f>1000*F22*F$6</f>
        <v>484.70149253731347</v>
      </c>
      <c r="G23" s="30"/>
      <c r="H23" s="31">
        <f>1000*H22*H$6</f>
        <v>27.3</v>
      </c>
      <c r="I23" s="51"/>
      <c r="J23" s="38"/>
      <c r="K23" s="14"/>
      <c r="L23" s="14"/>
      <c r="M23" s="92"/>
      <c r="N23" s="92"/>
      <c r="O23" s="92"/>
      <c r="P23" s="14"/>
      <c r="Q23" s="12" t="s">
        <v>98</v>
      </c>
      <c r="R23" s="92"/>
      <c r="S23" s="9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7" customHeight="1" x14ac:dyDescent="0.2">
      <c r="A24" s="48" t="s">
        <v>99</v>
      </c>
      <c r="B24" s="86" t="s">
        <v>79</v>
      </c>
      <c r="C24" s="87">
        <v>18</v>
      </c>
      <c r="D24" s="31">
        <v>350</v>
      </c>
      <c r="E24" s="51"/>
      <c r="F24" s="54">
        <v>0.12</v>
      </c>
      <c r="G24" s="93">
        <v>0.01</v>
      </c>
      <c r="H24" s="54">
        <v>0.09</v>
      </c>
      <c r="I24" s="38"/>
      <c r="J24" s="38"/>
      <c r="K24" s="14"/>
      <c r="L24" s="92"/>
      <c r="M24" s="42" t="s">
        <v>100</v>
      </c>
      <c r="N24" s="42" t="s">
        <v>101</v>
      </c>
      <c r="O24" s="42" t="s">
        <v>102</v>
      </c>
      <c r="P24" s="42" t="s">
        <v>103</v>
      </c>
      <c r="Q24" s="42" t="s">
        <v>104</v>
      </c>
      <c r="R24" s="42" t="s">
        <v>105</v>
      </c>
      <c r="S24" s="4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7" customHeight="1" x14ac:dyDescent="0.2">
      <c r="A25" s="44" t="s">
        <v>73</v>
      </c>
      <c r="B25" s="34">
        <f>D25/210</f>
        <v>2.0219580668088133</v>
      </c>
      <c r="C25" s="90" t="s">
        <v>74</v>
      </c>
      <c r="D25" s="31">
        <f>SUM(E25:T25)</f>
        <v>424.61119402985076</v>
      </c>
      <c r="E25" s="30"/>
      <c r="F25" s="31">
        <f>1000*F24*F$6</f>
        <v>387.76119402985074</v>
      </c>
      <c r="G25" s="30"/>
      <c r="H25" s="31">
        <f>1000*H24*H$6</f>
        <v>35.1</v>
      </c>
      <c r="I25" s="51"/>
      <c r="J25" s="38"/>
      <c r="K25" s="14"/>
      <c r="L25" s="14"/>
      <c r="M25" s="22" t="s">
        <v>106</v>
      </c>
      <c r="N25" s="38">
        <v>0.5</v>
      </c>
      <c r="O25" s="38">
        <v>0.25</v>
      </c>
      <c r="P25" s="38">
        <v>0.5</v>
      </c>
      <c r="Q25" s="38">
        <v>0.5</v>
      </c>
      <c r="R25" s="22" t="s">
        <v>107</v>
      </c>
      <c r="S25" s="38"/>
      <c r="T25" s="6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7" customHeight="1" x14ac:dyDescent="0.2">
      <c r="A26" s="48" t="s">
        <v>108</v>
      </c>
      <c r="B26" s="86" t="s">
        <v>79</v>
      </c>
      <c r="C26" s="87">
        <v>18</v>
      </c>
      <c r="D26" s="31">
        <v>613</v>
      </c>
      <c r="E26" s="94">
        <v>0.18</v>
      </c>
      <c r="F26" s="82">
        <v>0.2</v>
      </c>
      <c r="G26" s="38"/>
      <c r="H26" s="82">
        <v>0.02</v>
      </c>
      <c r="I26" s="38"/>
      <c r="J26" s="38"/>
      <c r="K26" s="14"/>
      <c r="L26" s="14"/>
      <c r="M26" s="22" t="s">
        <v>109</v>
      </c>
      <c r="N26" s="38">
        <v>0.9</v>
      </c>
      <c r="O26" s="38">
        <v>0.65</v>
      </c>
      <c r="P26" s="22" t="s">
        <v>110</v>
      </c>
      <c r="Q26" s="38">
        <v>7.0000000000000007E-2</v>
      </c>
      <c r="R26" s="22" t="s">
        <v>111</v>
      </c>
      <c r="S26" s="38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7" customHeight="1" x14ac:dyDescent="0.2">
      <c r="A27" s="75" t="s">
        <v>112</v>
      </c>
      <c r="B27" s="34">
        <f>D27/210</f>
        <v>4.6021695868483663</v>
      </c>
      <c r="C27" s="90" t="s">
        <v>74</v>
      </c>
      <c r="D27" s="31">
        <f>SUM(E27:T27)</f>
        <v>966.45561323815696</v>
      </c>
      <c r="E27" s="31">
        <f>1000*E26*E$6</f>
        <v>311.08695652173913</v>
      </c>
      <c r="F27" s="31">
        <f>1000*F26*F$6</f>
        <v>646.26865671641792</v>
      </c>
      <c r="G27" s="30"/>
      <c r="H27" s="31">
        <f>1000*H26*H$6</f>
        <v>7.8000000000000007</v>
      </c>
      <c r="I27" s="51"/>
      <c r="J27" s="38"/>
      <c r="K27" s="14"/>
      <c r="L27" s="14"/>
      <c r="M27" s="22" t="s">
        <v>113</v>
      </c>
      <c r="N27" s="38"/>
      <c r="O27" s="38">
        <v>0.1</v>
      </c>
      <c r="P27" s="38">
        <v>0.8</v>
      </c>
      <c r="Q27" s="38">
        <v>0.4</v>
      </c>
      <c r="R27" s="22" t="s">
        <v>114</v>
      </c>
      <c r="S27" s="38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7" customHeight="1" x14ac:dyDescent="0.2">
      <c r="A28" s="48" t="s">
        <v>115</v>
      </c>
      <c r="B28" s="86" t="s">
        <v>79</v>
      </c>
      <c r="C28" s="87">
        <v>18</v>
      </c>
      <c r="D28" s="31">
        <v>500</v>
      </c>
      <c r="E28" s="95">
        <v>0.11</v>
      </c>
      <c r="F28" s="82">
        <v>0.2</v>
      </c>
      <c r="G28" s="38"/>
      <c r="H28" s="81"/>
      <c r="I28" s="38"/>
      <c r="J28" s="38"/>
      <c r="K28" s="14"/>
      <c r="L28" s="14"/>
      <c r="M28" s="22" t="s">
        <v>70</v>
      </c>
      <c r="N28" s="38"/>
      <c r="O28" s="38">
        <v>0.75</v>
      </c>
      <c r="P28" s="38">
        <v>0.05</v>
      </c>
      <c r="Q28" s="38">
        <v>0.08</v>
      </c>
      <c r="R28" s="22" t="s">
        <v>116</v>
      </c>
      <c r="S28" s="38"/>
      <c r="T28" s="14"/>
      <c r="U28" s="14"/>
      <c r="V28" s="14"/>
      <c r="W28" s="14"/>
      <c r="X28" s="14"/>
      <c r="Y28" s="14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7" customHeight="1" x14ac:dyDescent="0.2">
      <c r="A29" s="75" t="s">
        <v>112</v>
      </c>
      <c r="B29" s="34">
        <f>D29/210</f>
        <v>3.9827492969932945</v>
      </c>
      <c r="C29" s="90" t="s">
        <v>74</v>
      </c>
      <c r="D29" s="31">
        <f>SUM(E29:T29)</f>
        <v>836.3773523685918</v>
      </c>
      <c r="E29" s="31">
        <f>1000*E28*E$6</f>
        <v>190.10869565217391</v>
      </c>
      <c r="F29" s="31">
        <f>1000*F28*F$6</f>
        <v>646.26865671641792</v>
      </c>
      <c r="G29" s="51"/>
      <c r="H29" s="38"/>
      <c r="I29" s="38"/>
      <c r="J29" s="38"/>
      <c r="K29" s="14"/>
      <c r="L29" s="14"/>
      <c r="M29" s="38"/>
      <c r="N29" s="38"/>
      <c r="O29" s="38"/>
      <c r="P29" s="38"/>
      <c r="Q29" s="42" t="s">
        <v>117</v>
      </c>
      <c r="R29" s="42" t="s">
        <v>118</v>
      </c>
      <c r="S29" s="4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7" customHeight="1" x14ac:dyDescent="0.2">
      <c r="A30" s="10" t="s">
        <v>119</v>
      </c>
      <c r="B30" s="86" t="s">
        <v>79</v>
      </c>
      <c r="C30" s="87">
        <v>18</v>
      </c>
      <c r="D30" s="31">
        <f>548+M2+C30</f>
        <v>566</v>
      </c>
      <c r="E30" s="96">
        <v>0.09</v>
      </c>
      <c r="F30" s="73">
        <v>0.17</v>
      </c>
      <c r="G30" s="97">
        <v>7.0000000000000007E-2</v>
      </c>
      <c r="H30" s="97">
        <v>0.02</v>
      </c>
      <c r="I30" s="38"/>
      <c r="J30" s="38"/>
      <c r="K30" s="14"/>
      <c r="L30" s="223" t="s">
        <v>21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7" customHeight="1" x14ac:dyDescent="0.2">
      <c r="A31" s="44" t="s">
        <v>73</v>
      </c>
      <c r="B31" s="34">
        <f>D31/210</f>
        <v>4.0270087450944034</v>
      </c>
      <c r="C31" s="90" t="s">
        <v>74</v>
      </c>
      <c r="D31" s="31">
        <f>SUM(E31:T31)</f>
        <v>845.67183646982471</v>
      </c>
      <c r="E31" s="31">
        <f>1000*E30*E$6</f>
        <v>155.54347826086956</v>
      </c>
      <c r="F31" s="31">
        <f>1000*F30*F$6</f>
        <v>549.32835820895525</v>
      </c>
      <c r="G31" s="31">
        <f>1000*G30*G$6</f>
        <v>133</v>
      </c>
      <c r="H31" s="31">
        <f>1000*H30*H$6</f>
        <v>7.8000000000000007</v>
      </c>
      <c r="I31" s="51"/>
      <c r="J31" s="38"/>
      <c r="K31" s="14"/>
      <c r="L31" s="223" t="s">
        <v>120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7" customHeight="1" x14ac:dyDescent="0.2">
      <c r="A32" s="10" t="s">
        <v>121</v>
      </c>
      <c r="B32" s="86" t="s">
        <v>79</v>
      </c>
      <c r="C32" s="98">
        <v>18</v>
      </c>
      <c r="D32" s="99">
        <v>1000</v>
      </c>
      <c r="E32" s="81"/>
      <c r="F32" s="100">
        <v>7.3999999999999996E-2</v>
      </c>
      <c r="G32" s="101">
        <v>7.4999999999999997E-2</v>
      </c>
      <c r="H32" s="54">
        <v>0.1</v>
      </c>
      <c r="I32" s="38"/>
      <c r="J32" s="102">
        <v>0.17</v>
      </c>
      <c r="K32" s="14"/>
      <c r="L32" s="223" t="s">
        <v>122</v>
      </c>
      <c r="M32" s="14"/>
      <c r="N32" s="14"/>
      <c r="O32" s="14"/>
      <c r="P32" s="14"/>
      <c r="Q32" s="14"/>
      <c r="R32" s="1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7" customHeight="1" x14ac:dyDescent="0.2">
      <c r="A33" s="44" t="s">
        <v>73</v>
      </c>
      <c r="B33" s="34">
        <f>D33/210</f>
        <v>2.0029495380241649</v>
      </c>
      <c r="C33" s="90" t="s">
        <v>74</v>
      </c>
      <c r="D33" s="31">
        <f>SUM(E33:T33)</f>
        <v>420.61940298507466</v>
      </c>
      <c r="E33" s="30"/>
      <c r="F33" s="31">
        <f>1000*F32*F$6</f>
        <v>239.11940298507463</v>
      </c>
      <c r="G33" s="31">
        <f>1000*G32*G$6</f>
        <v>142.5</v>
      </c>
      <c r="H33" s="31">
        <f>1000*H32*H$6</f>
        <v>39</v>
      </c>
      <c r="I33" s="103" t="s">
        <v>123</v>
      </c>
      <c r="J33" s="38"/>
      <c r="K33" s="14"/>
      <c r="L33" s="223" t="s">
        <v>124</v>
      </c>
      <c r="M33" s="14"/>
      <c r="N33" s="14"/>
      <c r="O33" s="14"/>
      <c r="P33" s="14"/>
      <c r="Q33" s="14"/>
      <c r="R33" s="1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7" customHeight="1" x14ac:dyDescent="0.2">
      <c r="A34" s="48" t="s">
        <v>125</v>
      </c>
      <c r="B34" s="104" t="s">
        <v>79</v>
      </c>
      <c r="C34" s="98">
        <v>18</v>
      </c>
      <c r="D34" s="105">
        <v>950</v>
      </c>
      <c r="E34" s="38"/>
      <c r="F34" s="81"/>
      <c r="G34" s="106">
        <v>0.5</v>
      </c>
      <c r="H34" s="81"/>
      <c r="I34" s="38"/>
      <c r="J34" s="38"/>
      <c r="K34" s="14"/>
      <c r="L34" s="14"/>
      <c r="M34" s="14"/>
      <c r="N34" s="14"/>
      <c r="O34" s="14"/>
      <c r="P34" s="14"/>
      <c r="Q34" s="14"/>
      <c r="R34" s="14"/>
      <c r="S34" s="38"/>
      <c r="T34" s="14"/>
      <c r="U34" s="14"/>
      <c r="V34" s="14"/>
      <c r="W34" s="14"/>
      <c r="X34" s="14"/>
      <c r="Y34" s="14"/>
      <c r="Z34" s="107"/>
      <c r="AA34" s="14"/>
      <c r="AB34" s="108"/>
      <c r="AC34" s="14"/>
      <c r="AD34" s="14"/>
      <c r="AE34" s="5"/>
      <c r="AF34" s="5"/>
      <c r="AG34" s="5"/>
      <c r="AH34" s="5"/>
      <c r="AI34" s="5"/>
    </row>
    <row r="35" spans="1:35" ht="17" customHeight="1" x14ac:dyDescent="0.2">
      <c r="A35" s="48" t="s">
        <v>126</v>
      </c>
      <c r="B35" s="109"/>
      <c r="C35" s="98"/>
      <c r="D35" s="110"/>
      <c r="E35" s="38"/>
      <c r="F35" s="38"/>
      <c r="G35" s="89"/>
      <c r="H35" s="38"/>
      <c r="I35" s="38"/>
      <c r="J35" s="38"/>
      <c r="K35" s="14"/>
      <c r="L35" s="14"/>
      <c r="M35" s="14"/>
      <c r="N35" s="14"/>
      <c r="O35" s="14"/>
      <c r="P35" s="14"/>
      <c r="Q35" s="14"/>
      <c r="R35" s="14"/>
      <c r="S35" s="38"/>
      <c r="T35" s="14"/>
      <c r="U35" s="14"/>
      <c r="V35" s="14"/>
      <c r="W35" s="14"/>
      <c r="X35" s="14"/>
      <c r="Y35" s="14"/>
      <c r="Z35" s="107"/>
      <c r="AA35" s="14"/>
      <c r="AB35" s="108"/>
      <c r="AC35" s="14"/>
      <c r="AD35" s="14"/>
      <c r="AE35" s="5"/>
      <c r="AF35" s="5"/>
      <c r="AG35" s="5"/>
      <c r="AH35" s="5"/>
      <c r="AI35" s="5"/>
    </row>
    <row r="36" spans="1:35" ht="17" customHeight="1" x14ac:dyDescent="0.2">
      <c r="A36" s="33"/>
      <c r="B36" s="34">
        <f>D36/210</f>
        <v>4.5238095238095237</v>
      </c>
      <c r="C36" s="90" t="s">
        <v>74</v>
      </c>
      <c r="D36" s="31">
        <f>SUM(E36:T36)</f>
        <v>950</v>
      </c>
      <c r="E36" s="51"/>
      <c r="F36" s="57"/>
      <c r="G36" s="31">
        <f>1000*G34*G$6</f>
        <v>950</v>
      </c>
      <c r="H36" s="51"/>
      <c r="I36" s="38"/>
      <c r="J36" s="38"/>
      <c r="K36" s="14"/>
      <c r="L36" s="22" t="s">
        <v>127</v>
      </c>
      <c r="M36" s="22" t="s">
        <v>101</v>
      </c>
      <c r="N36" s="22" t="s">
        <v>73</v>
      </c>
      <c r="O36" s="22" t="s">
        <v>128</v>
      </c>
      <c r="P36" s="22" t="s">
        <v>129</v>
      </c>
      <c r="Q36" s="5"/>
      <c r="R36" s="10" t="s">
        <v>130</v>
      </c>
      <c r="S36" s="38"/>
      <c r="T36" s="111"/>
      <c r="U36" s="14"/>
      <c r="V36" s="14"/>
      <c r="W36" s="14"/>
      <c r="X36" s="14"/>
      <c r="Y36" s="14"/>
      <c r="Z36" s="107"/>
      <c r="AA36" s="14"/>
      <c r="AB36" s="14"/>
      <c r="AC36" s="14"/>
      <c r="AD36" s="112"/>
      <c r="AE36" s="5"/>
      <c r="AF36" s="5"/>
      <c r="AG36" s="5"/>
      <c r="AH36" s="5"/>
      <c r="AI36" s="5"/>
    </row>
    <row r="37" spans="1:35" ht="17" customHeight="1" x14ac:dyDescent="0.2">
      <c r="A37" s="48" t="s">
        <v>131</v>
      </c>
      <c r="B37" s="86" t="s">
        <v>79</v>
      </c>
      <c r="C37" s="98">
        <v>18</v>
      </c>
      <c r="D37" s="99">
        <v>390</v>
      </c>
      <c r="E37" s="38"/>
      <c r="F37" s="38"/>
      <c r="G37" s="81"/>
      <c r="H37" s="89">
        <v>1</v>
      </c>
      <c r="I37" s="38"/>
      <c r="J37" s="38"/>
      <c r="K37" s="14"/>
      <c r="L37" s="49" t="s">
        <v>132</v>
      </c>
      <c r="M37" s="38">
        <v>5.0000000000000001E-4</v>
      </c>
      <c r="N37" s="113">
        <v>1.12E-2</v>
      </c>
      <c r="O37" s="22" t="s">
        <v>133</v>
      </c>
      <c r="P37" s="22" t="s">
        <v>134</v>
      </c>
      <c r="Q37" s="22" t="s">
        <v>135</v>
      </c>
      <c r="R37" s="38"/>
      <c r="S37" s="38"/>
      <c r="T37" s="114"/>
      <c r="U37" s="14"/>
      <c r="V37" s="14"/>
      <c r="W37" s="14"/>
      <c r="X37" s="14"/>
      <c r="Y37" s="14"/>
      <c r="Z37" s="107"/>
      <c r="AA37" s="14"/>
      <c r="AB37" s="14"/>
      <c r="AC37" s="14"/>
      <c r="AD37" s="112"/>
      <c r="AE37" s="5"/>
      <c r="AF37" s="5"/>
      <c r="AG37" s="5"/>
      <c r="AH37" s="5"/>
      <c r="AI37" s="5"/>
    </row>
    <row r="38" spans="1:35" ht="17" customHeight="1" x14ac:dyDescent="0.2">
      <c r="A38" s="44" t="s">
        <v>73</v>
      </c>
      <c r="B38" s="34">
        <f>D38/210</f>
        <v>1.8572033333333333</v>
      </c>
      <c r="C38" s="90" t="s">
        <v>74</v>
      </c>
      <c r="D38" s="31">
        <f>SUM(E38:T38)</f>
        <v>390.0127</v>
      </c>
      <c r="E38" s="51"/>
      <c r="F38" s="38"/>
      <c r="G38" s="57"/>
      <c r="H38" s="31">
        <f>D37*H37</f>
        <v>390</v>
      </c>
      <c r="I38" s="51"/>
      <c r="J38" s="38"/>
      <c r="K38" s="14"/>
      <c r="L38" s="49" t="s">
        <v>136</v>
      </c>
      <c r="M38" s="38">
        <v>1E-4</v>
      </c>
      <c r="N38" s="113">
        <v>1.26E-2</v>
      </c>
      <c r="O38" s="22" t="s">
        <v>137</v>
      </c>
      <c r="P38" s="22" t="s">
        <v>138</v>
      </c>
      <c r="Q38" s="22" t="s">
        <v>139</v>
      </c>
      <c r="R38" s="38"/>
      <c r="S38" s="38"/>
      <c r="T38" s="114"/>
      <c r="U38" s="14"/>
      <c r="V38" s="14"/>
      <c r="W38" s="14"/>
      <c r="X38" s="14"/>
      <c r="Y38" s="14"/>
      <c r="Z38" s="107"/>
      <c r="AA38" s="14"/>
      <c r="AB38" s="14"/>
      <c r="AC38" s="14"/>
      <c r="AD38" s="112"/>
      <c r="AE38" s="5"/>
      <c r="AF38" s="5"/>
      <c r="AG38" s="5"/>
      <c r="AH38" s="5"/>
      <c r="AI38" s="5"/>
    </row>
    <row r="39" spans="1:35" ht="17" customHeight="1" x14ac:dyDescent="0.2">
      <c r="A39" s="10" t="s">
        <v>140</v>
      </c>
      <c r="B39" s="86" t="s">
        <v>79</v>
      </c>
      <c r="C39" s="87">
        <v>18</v>
      </c>
      <c r="D39" s="31">
        <f>250+M2+C39</f>
        <v>268</v>
      </c>
      <c r="E39" s="51"/>
      <c r="F39" s="38"/>
      <c r="G39" s="38"/>
      <c r="H39" s="82">
        <v>0.18</v>
      </c>
      <c r="I39" s="38"/>
      <c r="J39" s="89">
        <v>0.23</v>
      </c>
      <c r="K39" s="14"/>
      <c r="L39" s="49" t="s">
        <v>141</v>
      </c>
      <c r="M39" s="38">
        <v>2.9999999999999997E-4</v>
      </c>
      <c r="N39" s="113">
        <v>7.4000000000000003E-3</v>
      </c>
      <c r="O39" s="22" t="s">
        <v>137</v>
      </c>
      <c r="P39" s="22" t="s">
        <v>142</v>
      </c>
      <c r="Q39" s="22" t="s">
        <v>143</v>
      </c>
      <c r="R39" s="38"/>
      <c r="S39" s="38"/>
      <c r="T39" s="114"/>
      <c r="U39" s="14"/>
      <c r="V39" s="14"/>
      <c r="W39" s="14"/>
      <c r="X39" s="14"/>
      <c r="Y39" s="14"/>
      <c r="Z39" s="107"/>
      <c r="AA39" s="14"/>
      <c r="AB39" s="14"/>
      <c r="AC39" s="14"/>
      <c r="AD39" s="112"/>
      <c r="AE39" s="5"/>
      <c r="AF39" s="5"/>
      <c r="AG39" s="5"/>
      <c r="AH39" s="5"/>
      <c r="AI39" s="5"/>
    </row>
    <row r="40" spans="1:35" ht="17" customHeight="1" x14ac:dyDescent="0.2">
      <c r="A40" s="44" t="s">
        <v>73</v>
      </c>
      <c r="B40" s="34">
        <f>D40/210</f>
        <v>0.89609294261294259</v>
      </c>
      <c r="C40" s="90" t="s">
        <v>74</v>
      </c>
      <c r="D40" s="31">
        <f>SUM(E40:T40)</f>
        <v>188.17951794871794</v>
      </c>
      <c r="E40" s="51"/>
      <c r="F40" s="38"/>
      <c r="G40" s="57"/>
      <c r="H40" s="31">
        <f>1000*H39*H$6</f>
        <v>70.2</v>
      </c>
      <c r="I40" s="30"/>
      <c r="J40" s="31">
        <f>1000*J39*J$6</f>
        <v>117.94871794871794</v>
      </c>
      <c r="K40" s="68"/>
      <c r="L40" s="49" t="s">
        <v>25</v>
      </c>
      <c r="M40" s="38">
        <v>8.0000000000000004E-4</v>
      </c>
      <c r="N40" s="113">
        <v>0.03</v>
      </c>
      <c r="O40" s="22" t="s">
        <v>144</v>
      </c>
      <c r="P40" s="22" t="s">
        <v>145</v>
      </c>
      <c r="Q40" s="22" t="s">
        <v>146</v>
      </c>
      <c r="R40" s="38"/>
      <c r="S40" s="38"/>
      <c r="T40" s="114"/>
      <c r="U40" s="14"/>
      <c r="V40" s="14"/>
      <c r="W40" s="14"/>
      <c r="X40" s="14"/>
      <c r="Y40" s="14"/>
      <c r="Z40" s="14"/>
      <c r="AA40" s="14"/>
      <c r="AB40" s="14"/>
      <c r="AC40" s="14"/>
      <c r="AD40" s="112"/>
      <c r="AE40" s="5"/>
      <c r="AF40" s="5"/>
      <c r="AG40" s="5"/>
      <c r="AH40" s="5"/>
      <c r="AI40" s="5"/>
    </row>
    <row r="41" spans="1:35" ht="17" customHeight="1" x14ac:dyDescent="0.2">
      <c r="A41" s="10" t="s">
        <v>24</v>
      </c>
      <c r="B41" s="86" t="s">
        <v>79</v>
      </c>
      <c r="C41" s="98">
        <v>18</v>
      </c>
      <c r="D41" s="115">
        <v>99</v>
      </c>
      <c r="E41" s="38"/>
      <c r="F41" s="38"/>
      <c r="G41" s="38"/>
      <c r="H41" s="81"/>
      <c r="I41" s="46">
        <v>0.23</v>
      </c>
      <c r="J41" s="116">
        <v>1.5E-3</v>
      </c>
      <c r="K41" s="14"/>
      <c r="L41" s="49" t="s">
        <v>147</v>
      </c>
      <c r="M41" s="38">
        <v>8.0000000000000007E-5</v>
      </c>
      <c r="N41" s="113">
        <v>4.1999999999999997E-3</v>
      </c>
      <c r="O41" s="22" t="s">
        <v>144</v>
      </c>
      <c r="P41" s="22" t="s">
        <v>145</v>
      </c>
      <c r="Q41" s="22" t="s">
        <v>148</v>
      </c>
      <c r="R41" s="38"/>
      <c r="S41" s="38"/>
      <c r="T41" s="114"/>
      <c r="U41" s="14"/>
      <c r="V41" s="14"/>
      <c r="W41" s="14"/>
      <c r="X41" s="14"/>
      <c r="Y41" s="14"/>
      <c r="Z41" s="14"/>
      <c r="AA41" s="14"/>
      <c r="AB41" s="14"/>
      <c r="AC41" s="14"/>
      <c r="AD41" s="112"/>
      <c r="AE41" s="5"/>
      <c r="AF41" s="5"/>
      <c r="AG41" s="5"/>
      <c r="AH41" s="5"/>
      <c r="AI41" s="5"/>
    </row>
    <row r="42" spans="1:35" ht="17" customHeight="1" x14ac:dyDescent="0.2">
      <c r="A42" s="44" t="s">
        <v>73</v>
      </c>
      <c r="B42" s="34">
        <f>D42/210</f>
        <v>0.47143716190476193</v>
      </c>
      <c r="C42" s="90" t="s">
        <v>74</v>
      </c>
      <c r="D42" s="31">
        <f>SUM(E42:T42)</f>
        <v>99.001804000000007</v>
      </c>
      <c r="E42" s="51"/>
      <c r="F42" s="38"/>
      <c r="G42" s="38"/>
      <c r="H42" s="57"/>
      <c r="I42" s="31">
        <f>1000*I41*I$6</f>
        <v>99</v>
      </c>
      <c r="J42" s="51"/>
      <c r="K42" s="14"/>
      <c r="L42" s="49" t="s">
        <v>149</v>
      </c>
      <c r="M42" s="38">
        <v>3.9999999999999998E-6</v>
      </c>
      <c r="N42" s="113">
        <v>1.8E-3</v>
      </c>
      <c r="O42" s="22" t="s">
        <v>144</v>
      </c>
      <c r="P42" s="22" t="s">
        <v>145</v>
      </c>
      <c r="Q42" s="22" t="s">
        <v>150</v>
      </c>
      <c r="R42" s="38"/>
      <c r="S42" s="38"/>
      <c r="T42" s="114"/>
      <c r="U42" s="14"/>
      <c r="V42" s="14"/>
      <c r="W42" s="14"/>
      <c r="X42" s="14"/>
      <c r="Y42" s="14"/>
      <c r="Z42" s="14"/>
      <c r="AA42" s="14"/>
      <c r="AB42" s="14"/>
      <c r="AC42" s="14"/>
      <c r="AD42" s="112"/>
      <c r="AE42" s="5"/>
      <c r="AF42" s="5"/>
      <c r="AG42" s="5"/>
      <c r="AH42" s="5"/>
      <c r="AI42" s="5"/>
    </row>
    <row r="43" spans="1:35" ht="17" customHeight="1" x14ac:dyDescent="0.2">
      <c r="A43" s="10" t="s">
        <v>151</v>
      </c>
      <c r="B43" s="86" t="s">
        <v>79</v>
      </c>
      <c r="C43" s="87">
        <v>18</v>
      </c>
      <c r="D43" s="31">
        <f>480+M2+C43</f>
        <v>498</v>
      </c>
      <c r="E43" s="51"/>
      <c r="F43" s="38"/>
      <c r="G43" s="38"/>
      <c r="H43" s="38"/>
      <c r="I43" s="81"/>
      <c r="J43" s="38"/>
      <c r="K43" s="14"/>
      <c r="L43" s="38"/>
      <c r="M43" s="38"/>
      <c r="N43" s="38"/>
      <c r="O43" s="38"/>
      <c r="P43" s="38"/>
      <c r="Q43" s="38"/>
      <c r="R43" s="38"/>
      <c r="S43" s="38"/>
      <c r="T43" s="114"/>
      <c r="U43" s="38"/>
      <c r="V43" s="38"/>
      <c r="W43" s="3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7" customHeight="1" x14ac:dyDescent="0.2">
      <c r="A44" s="44" t="s">
        <v>73</v>
      </c>
      <c r="B44" s="34">
        <f>D44/210</f>
        <v>0</v>
      </c>
      <c r="C44" s="90" t="s">
        <v>74</v>
      </c>
      <c r="D44" s="31">
        <f>SUM(E44:T44)</f>
        <v>0</v>
      </c>
      <c r="E44" s="51"/>
      <c r="F44" s="38"/>
      <c r="G44" s="38"/>
      <c r="H44" s="38"/>
      <c r="I44" s="38"/>
      <c r="J44" s="38"/>
      <c r="K44" s="14"/>
      <c r="L44" s="14"/>
      <c r="M44" s="14"/>
      <c r="N44" s="14"/>
      <c r="O44" s="12" t="s">
        <v>152</v>
      </c>
      <c r="P44" s="10" t="s">
        <v>153</v>
      </c>
      <c r="Q44" s="14"/>
      <c r="R44" s="5"/>
      <c r="S44" s="5"/>
      <c r="T44" s="117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7" customHeight="1" x14ac:dyDescent="0.2">
      <c r="A45" s="10" t="s">
        <v>154</v>
      </c>
      <c r="B45" s="86" t="s">
        <v>79</v>
      </c>
      <c r="C45" s="87">
        <v>20</v>
      </c>
      <c r="D45" s="118">
        <f>35+M2+C45</f>
        <v>55</v>
      </c>
      <c r="E45" s="51"/>
      <c r="F45" s="38"/>
      <c r="G45" s="38"/>
      <c r="H45" s="38"/>
      <c r="I45" s="61">
        <v>7.0000000000000007E-2</v>
      </c>
      <c r="J45" s="61">
        <v>0.73</v>
      </c>
      <c r="K45" s="14"/>
      <c r="L45" s="14"/>
      <c r="M45" s="119"/>
      <c r="N45" s="120"/>
      <c r="O45" s="12" t="s">
        <v>155</v>
      </c>
      <c r="P45" s="14"/>
      <c r="Q45" s="14"/>
      <c r="R45" s="5"/>
      <c r="S45" s="5"/>
      <c r="T45" s="117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7" customHeight="1" x14ac:dyDescent="0.2">
      <c r="A46" s="44" t="s">
        <v>73</v>
      </c>
      <c r="B46" s="34">
        <f>D46/210</f>
        <v>1.9261400435313476</v>
      </c>
      <c r="C46" s="90" t="s">
        <v>74</v>
      </c>
      <c r="D46" s="31">
        <f>SUM(E46:T46)</f>
        <v>404.489409141583</v>
      </c>
      <c r="E46" s="51"/>
      <c r="F46" s="38"/>
      <c r="G46" s="38"/>
      <c r="H46" s="57"/>
      <c r="I46" s="31">
        <f>1000*I45*I$6</f>
        <v>30.130434782608695</v>
      </c>
      <c r="J46" s="31">
        <f>1000*J45*J$6</f>
        <v>374.35897435897431</v>
      </c>
      <c r="K46" s="68"/>
      <c r="L46" s="14"/>
      <c r="M46" s="119"/>
      <c r="N46" s="120"/>
      <c r="O46" s="49" t="s">
        <v>156</v>
      </c>
      <c r="P46" s="14"/>
      <c r="Q46" s="14"/>
      <c r="R46" s="5"/>
      <c r="S46" s="5"/>
      <c r="T46" s="117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7" customHeight="1" x14ac:dyDescent="0.2">
      <c r="A47" s="10" t="s">
        <v>157</v>
      </c>
      <c r="B47" s="86" t="s">
        <v>79</v>
      </c>
      <c r="C47" s="98">
        <v>10</v>
      </c>
      <c r="D47" s="99">
        <v>200</v>
      </c>
      <c r="E47" s="22" t="s">
        <v>158</v>
      </c>
      <c r="F47" s="121"/>
      <c r="G47" s="121"/>
      <c r="H47" s="38"/>
      <c r="I47" s="54">
        <v>0.115</v>
      </c>
      <c r="J47" s="54">
        <v>0.24</v>
      </c>
      <c r="K47" s="5"/>
      <c r="L47" s="38">
        <v>5</v>
      </c>
      <c r="M47" s="14"/>
      <c r="N47" s="14"/>
      <c r="O47" s="49" t="s">
        <v>159</v>
      </c>
      <c r="P47" s="14"/>
      <c r="Q47" s="14"/>
      <c r="R47" s="5"/>
      <c r="S47" s="14"/>
      <c r="T47" s="117"/>
      <c r="U47" s="5"/>
      <c r="V47" s="122">
        <v>0.2</v>
      </c>
      <c r="W47" s="12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7" customHeight="1" x14ac:dyDescent="0.2">
      <c r="A48" s="33"/>
      <c r="B48" s="34">
        <f>D48/210</f>
        <v>0.82179487179487176</v>
      </c>
      <c r="C48" s="90" t="s">
        <v>74</v>
      </c>
      <c r="D48" s="31">
        <f>SUM(E48:T48)</f>
        <v>172.57692307692307</v>
      </c>
      <c r="E48" s="51"/>
      <c r="F48" s="38"/>
      <c r="G48" s="38"/>
      <c r="H48" s="57"/>
      <c r="I48" s="31">
        <f>1000*I47*I$6</f>
        <v>49.5</v>
      </c>
      <c r="J48" s="31">
        <f>1000*J47*J$6</f>
        <v>123.07692307692307</v>
      </c>
      <c r="K48" s="58"/>
      <c r="L48" s="22" t="s">
        <v>160</v>
      </c>
      <c r="M48" s="14"/>
      <c r="N48" s="14"/>
      <c r="O48" s="49" t="s">
        <v>161</v>
      </c>
      <c r="P48" s="14"/>
      <c r="Q48" s="14"/>
      <c r="R48" s="5"/>
      <c r="S48" s="14"/>
      <c r="T48" s="123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7" customHeight="1" x14ac:dyDescent="0.2">
      <c r="A49" s="48" t="s">
        <v>162</v>
      </c>
      <c r="B49" s="86" t="s">
        <v>66</v>
      </c>
      <c r="C49" s="87">
        <v>30</v>
      </c>
      <c r="D49" s="31">
        <f>26+C49</f>
        <v>56</v>
      </c>
      <c r="E49" s="37" t="s">
        <v>93</v>
      </c>
      <c r="F49" s="38"/>
      <c r="G49" s="38"/>
      <c r="H49" s="38"/>
      <c r="I49" s="78">
        <v>1.75E-3</v>
      </c>
      <c r="J49" s="82">
        <v>0.39</v>
      </c>
      <c r="K49" s="14"/>
      <c r="L49" s="14"/>
      <c r="M49" s="119"/>
      <c r="N49" s="120"/>
      <c r="O49" s="49" t="s">
        <v>163</v>
      </c>
      <c r="P49" s="14"/>
      <c r="Q49" s="124"/>
      <c r="R49" s="5"/>
      <c r="S49" s="125"/>
      <c r="T49" s="34"/>
      <c r="U49" s="68"/>
      <c r="V49" s="14"/>
      <c r="W49" s="14"/>
      <c r="X49" s="14"/>
      <c r="Y49" s="92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7" customHeight="1" x14ac:dyDescent="0.2">
      <c r="A50" s="44" t="s">
        <v>73</v>
      </c>
      <c r="B50" s="34">
        <f>D50/210</f>
        <v>0.95596790890269145</v>
      </c>
      <c r="C50" s="90" t="s">
        <v>74</v>
      </c>
      <c r="D50" s="31">
        <f>SUM(E50:T50)</f>
        <v>200.7532608695652</v>
      </c>
      <c r="E50" s="51"/>
      <c r="F50" s="38"/>
      <c r="G50" s="38"/>
      <c r="H50" s="126"/>
      <c r="I50" s="29">
        <f>1000*I49*I$6</f>
        <v>0.75326086956521743</v>
      </c>
      <c r="J50" s="31">
        <f>1000*J49*J$6</f>
        <v>199.99999999999997</v>
      </c>
      <c r="K50" s="68"/>
      <c r="L50" s="14"/>
      <c r="M50" s="119"/>
      <c r="N50" s="120"/>
      <c r="O50" s="49" t="s">
        <v>164</v>
      </c>
      <c r="P50" s="14"/>
      <c r="Q50" s="14"/>
      <c r="R50" s="5"/>
      <c r="S50" s="14"/>
      <c r="T50" s="84"/>
      <c r="U50" s="14"/>
      <c r="V50" s="14"/>
      <c r="W50" s="14"/>
      <c r="X50" s="14"/>
      <c r="Y50" s="92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7" customHeight="1" x14ac:dyDescent="0.2">
      <c r="A51" s="48" t="s">
        <v>165</v>
      </c>
      <c r="B51" s="86" t="s">
        <v>66</v>
      </c>
      <c r="C51" s="98"/>
      <c r="D51" s="127" t="s">
        <v>158</v>
      </c>
      <c r="E51" s="64">
        <v>5.0000000000000001E-4</v>
      </c>
      <c r="F51" s="64">
        <v>1E-4</v>
      </c>
      <c r="G51" s="128">
        <v>2.9999999999999997E-4</v>
      </c>
      <c r="H51" s="129">
        <f>G51/6</f>
        <v>4.9999999999999996E-5</v>
      </c>
      <c r="I51" s="130"/>
      <c r="J51" s="78">
        <v>2.0000000000000001E-4</v>
      </c>
      <c r="K51" s="131"/>
      <c r="L51" s="112"/>
      <c r="M51" s="38"/>
      <c r="N51" s="132"/>
      <c r="O51" s="131"/>
      <c r="P51" s="14"/>
      <c r="Q51" s="14"/>
      <c r="R51" s="5"/>
      <c r="S51" s="14"/>
      <c r="T51" s="133" t="s">
        <v>166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7" customHeight="1" x14ac:dyDescent="0.2">
      <c r="A52" s="44" t="s">
        <v>73</v>
      </c>
      <c r="B52" s="34">
        <f>D52/210</f>
        <v>5.0115436418797857E-4</v>
      </c>
      <c r="C52" s="90" t="s">
        <v>74</v>
      </c>
      <c r="D52" s="29">
        <f>SUM(E52:T52)</f>
        <v>0.10524241647947551</v>
      </c>
      <c r="E52" s="29">
        <f>E6*200*E51*280/1000</f>
        <v>4.8391304347826077E-2</v>
      </c>
      <c r="F52" s="29">
        <f>F6*200*F51*280/1000</f>
        <v>1.8095522388059702E-2</v>
      </c>
      <c r="G52" s="29">
        <f>G6*200*G51*280/1000</f>
        <v>3.1919999999999997E-2</v>
      </c>
      <c r="H52" s="29">
        <f>H6*200*H51*280/1000</f>
        <v>1.0919999999999999E-3</v>
      </c>
      <c r="I52" s="134"/>
      <c r="J52" s="29">
        <f>J6*200*J51*280/1000</f>
        <v>5.7435897435897439E-3</v>
      </c>
      <c r="K52" s="135"/>
      <c r="L52" s="109"/>
      <c r="M52" s="14"/>
      <c r="N52" s="136"/>
      <c r="O52" s="131"/>
      <c r="P52" s="14"/>
      <c r="Q52" s="124"/>
      <c r="R52" s="5"/>
      <c r="S52" s="137"/>
      <c r="T52" s="138" t="s">
        <v>167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7" customHeight="1" x14ac:dyDescent="0.2">
      <c r="A53" s="48" t="s">
        <v>168</v>
      </c>
      <c r="B53" s="104" t="s">
        <v>66</v>
      </c>
      <c r="C53" s="87"/>
      <c r="D53" s="29">
        <f>SUM(E53:K53)</f>
        <v>0.11576665812742308</v>
      </c>
      <c r="E53" s="29">
        <f>E52*1.1</f>
        <v>5.3230434782608686E-2</v>
      </c>
      <c r="F53" s="29">
        <f>F52*1.1</f>
        <v>1.9905074626865672E-2</v>
      </c>
      <c r="G53" s="29">
        <f>G52*1.1</f>
        <v>3.5111999999999997E-2</v>
      </c>
      <c r="H53" s="29">
        <f>H52*1.1</f>
        <v>1.2011999999999999E-3</v>
      </c>
      <c r="I53" s="30"/>
      <c r="J53" s="29">
        <f>J52*1.1</f>
        <v>6.317948717948719E-3</v>
      </c>
      <c r="K53" s="139"/>
      <c r="L53" s="140">
        <f>D53*200*280</f>
        <v>6482.9328551356921</v>
      </c>
      <c r="M53" s="141" t="s">
        <v>169</v>
      </c>
      <c r="N53" s="109"/>
      <c r="O53" s="109"/>
      <c r="P53" s="109"/>
      <c r="Q53" s="109"/>
      <c r="R53" s="5"/>
      <c r="S53" s="14"/>
      <c r="T53" s="138" t="s">
        <v>170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7" customHeight="1" x14ac:dyDescent="0.2">
      <c r="A54" s="48" t="s">
        <v>171</v>
      </c>
      <c r="B54" s="142" t="s">
        <v>79</v>
      </c>
      <c r="C54" s="98">
        <v>12</v>
      </c>
      <c r="D54" s="127" t="s">
        <v>158</v>
      </c>
      <c r="E54" s="101">
        <v>0.08</v>
      </c>
      <c r="F54" s="73">
        <v>0.03</v>
      </c>
      <c r="G54" s="143">
        <v>0.05</v>
      </c>
      <c r="H54" s="129">
        <f>E54/6</f>
        <v>1.3333333333333334E-2</v>
      </c>
      <c r="I54" s="144"/>
      <c r="J54" s="145"/>
      <c r="K54" s="146"/>
      <c r="L54" s="140">
        <f t="shared" ref="L54:Q54" si="0">E53*200*280</f>
        <v>2980.9043478260865</v>
      </c>
      <c r="M54" s="140">
        <f t="shared" si="0"/>
        <v>1114.6841791044776</v>
      </c>
      <c r="N54" s="140">
        <f t="shared" si="0"/>
        <v>1966.2719999999997</v>
      </c>
      <c r="O54" s="140">
        <f t="shared" si="0"/>
        <v>67.267199999999988</v>
      </c>
      <c r="P54" s="140">
        <f t="shared" si="0"/>
        <v>0</v>
      </c>
      <c r="Q54" s="140">
        <f t="shared" si="0"/>
        <v>353.80512820512826</v>
      </c>
      <c r="R54" s="58"/>
      <c r="S54" s="107"/>
      <c r="T54" s="138" t="s">
        <v>172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7" customHeight="1" x14ac:dyDescent="0.2">
      <c r="A55" s="44" t="s">
        <v>73</v>
      </c>
      <c r="B55" s="34">
        <f>D55/210</f>
        <v>1.5971484193937144</v>
      </c>
      <c r="C55" s="90" t="s">
        <v>74</v>
      </c>
      <c r="D55" s="31">
        <f>SUM(E55:T55)</f>
        <v>335.40116807268004</v>
      </c>
      <c r="E55" s="31">
        <f>1000*E54*E$6</f>
        <v>138.26086956521738</v>
      </c>
      <c r="F55" s="31">
        <f>1000*F54*F$6</f>
        <v>96.940298507462686</v>
      </c>
      <c r="G55" s="31">
        <f>1000*G54*G$6</f>
        <v>95</v>
      </c>
      <c r="H55" s="31">
        <f>1000*H54*H$6</f>
        <v>5.2</v>
      </c>
      <c r="I55" s="144"/>
      <c r="J55" s="38"/>
      <c r="K55" s="14"/>
      <c r="L55" s="104" t="s">
        <v>106</v>
      </c>
      <c r="M55" s="104" t="s">
        <v>109</v>
      </c>
      <c r="N55" s="104" t="s">
        <v>113</v>
      </c>
      <c r="O55" s="104" t="s">
        <v>173</v>
      </c>
      <c r="P55" s="104" t="s">
        <v>174</v>
      </c>
      <c r="Q55" s="104" t="s">
        <v>70</v>
      </c>
      <c r="R55" s="5"/>
      <c r="S55" s="107"/>
      <c r="T55" s="138" t="s">
        <v>175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7" customHeight="1" x14ac:dyDescent="0.2">
      <c r="A56" s="48" t="s">
        <v>176</v>
      </c>
      <c r="B56" s="86" t="s">
        <v>79</v>
      </c>
      <c r="C56" s="98">
        <v>12</v>
      </c>
      <c r="D56" s="127" t="s">
        <v>158</v>
      </c>
      <c r="E56" s="101">
        <v>7.0000000000000007E-2</v>
      </c>
      <c r="F56" s="73">
        <v>0.02</v>
      </c>
      <c r="G56" s="73">
        <v>0.06</v>
      </c>
      <c r="H56" s="116"/>
      <c r="I56" s="147"/>
      <c r="J56" s="38"/>
      <c r="K56" s="14"/>
      <c r="L56" s="148"/>
      <c r="M56" s="14"/>
      <c r="N56" s="14"/>
      <c r="O56" s="14"/>
      <c r="P56" s="107"/>
      <c r="Q56" s="107"/>
      <c r="R56" s="5"/>
      <c r="S56" s="107"/>
      <c r="T56" s="133" t="s">
        <v>177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7" customHeight="1" x14ac:dyDescent="0.2">
      <c r="A57" s="44" t="s">
        <v>73</v>
      </c>
      <c r="B57" s="34">
        <f>D57/210</f>
        <v>1.4266910787676526</v>
      </c>
      <c r="C57" s="90" t="s">
        <v>74</v>
      </c>
      <c r="D57" s="31">
        <f>SUM(E57:T57)</f>
        <v>299.60512654120703</v>
      </c>
      <c r="E57" s="31">
        <f>1000*E56*E$6</f>
        <v>120.9782608695652</v>
      </c>
      <c r="F57" s="31">
        <f>1000*F56*F$6</f>
        <v>64.626865671641795</v>
      </c>
      <c r="G57" s="31">
        <f>1000*G56*G$6</f>
        <v>114</v>
      </c>
      <c r="H57" s="144"/>
      <c r="I57" s="147"/>
      <c r="J57" s="38"/>
      <c r="K57" s="14"/>
      <c r="L57" s="14"/>
      <c r="M57" s="14"/>
      <c r="N57" s="14"/>
      <c r="O57" s="14"/>
      <c r="P57" s="107"/>
      <c r="Q57" s="107"/>
      <c r="R57" s="5"/>
      <c r="S57" s="107"/>
      <c r="T57" s="138" t="s">
        <v>178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7" customHeight="1" x14ac:dyDescent="0.2">
      <c r="A58" s="22" t="s">
        <v>179</v>
      </c>
      <c r="B58" s="149"/>
      <c r="C58" s="150" t="s">
        <v>180</v>
      </c>
      <c r="D58" s="151" t="s">
        <v>44</v>
      </c>
      <c r="E58" s="151" t="s">
        <v>45</v>
      </c>
      <c r="F58" s="151" t="s">
        <v>46</v>
      </c>
      <c r="G58" s="151" t="s">
        <v>47</v>
      </c>
      <c r="H58" s="150" t="s">
        <v>181</v>
      </c>
      <c r="I58" s="150" t="s">
        <v>182</v>
      </c>
      <c r="J58" s="150" t="s">
        <v>183</v>
      </c>
      <c r="K58" s="150" t="s">
        <v>57</v>
      </c>
      <c r="L58" s="150" t="s">
        <v>174</v>
      </c>
      <c r="M58" s="150" t="s">
        <v>55</v>
      </c>
      <c r="N58" s="150" t="s">
        <v>184</v>
      </c>
      <c r="O58" s="150" t="s">
        <v>33</v>
      </c>
      <c r="P58" s="152"/>
      <c r="Q58" s="150" t="s">
        <v>51</v>
      </c>
      <c r="R58" s="150" t="s">
        <v>52</v>
      </c>
      <c r="S58" s="150" t="s">
        <v>50</v>
      </c>
      <c r="T58" s="150" t="s">
        <v>56</v>
      </c>
      <c r="U58" s="150" t="s">
        <v>185</v>
      </c>
      <c r="V58" s="150" t="s">
        <v>186</v>
      </c>
      <c r="W58" s="150" t="s">
        <v>54</v>
      </c>
      <c r="X58" s="150" t="s">
        <v>160</v>
      </c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</row>
    <row r="59" spans="1:35" ht="17" customHeight="1" x14ac:dyDescent="0.2">
      <c r="A59" s="48" t="s">
        <v>187</v>
      </c>
      <c r="B59" s="142" t="s">
        <v>79</v>
      </c>
      <c r="C59" s="98">
        <v>100</v>
      </c>
      <c r="D59" s="26" t="s">
        <v>158</v>
      </c>
      <c r="E59" s="61">
        <v>0.04</v>
      </c>
      <c r="F59" s="61">
        <v>2.5000000000000001E-2</v>
      </c>
      <c r="G59" s="61">
        <v>1.4999999999999999E-2</v>
      </c>
      <c r="H59" s="61">
        <v>4.8999999999999998E-3</v>
      </c>
      <c r="I59" s="61">
        <v>4.3E-3</v>
      </c>
      <c r="J59" s="61">
        <v>4.3999999999999997E-2</v>
      </c>
      <c r="K59" s="14"/>
      <c r="L59" s="153">
        <v>5.3999999999999998E-5</v>
      </c>
      <c r="M59" s="132"/>
      <c r="N59" s="153">
        <v>6.7999999999999999E-5</v>
      </c>
      <c r="O59" s="14"/>
      <c r="P59" s="14"/>
      <c r="Q59" s="14"/>
      <c r="R59" s="5"/>
      <c r="S59" s="153">
        <v>2.7999999999999998E-4</v>
      </c>
      <c r="T59" s="133" t="s">
        <v>188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7" customHeight="1" x14ac:dyDescent="0.2">
      <c r="A60" s="44" t="s">
        <v>189</v>
      </c>
      <c r="B60" s="34">
        <f>D60/210</f>
        <v>1.1314855176116694</v>
      </c>
      <c r="C60" s="90" t="s">
        <v>74</v>
      </c>
      <c r="D60" s="31">
        <f>SUM(E60:T60)</f>
        <v>237.61195869845056</v>
      </c>
      <c r="E60" s="31">
        <f t="shared" ref="E60:J60" si="1">1000*E59*E$6</f>
        <v>69.130434782608688</v>
      </c>
      <c r="F60" s="31">
        <f t="shared" si="1"/>
        <v>80.78358208955224</v>
      </c>
      <c r="G60" s="31">
        <f t="shared" si="1"/>
        <v>28.5</v>
      </c>
      <c r="H60" s="31">
        <f t="shared" si="1"/>
        <v>1.9109999999999998</v>
      </c>
      <c r="I60" s="31">
        <f t="shared" si="1"/>
        <v>1.8508695652173912</v>
      </c>
      <c r="J60" s="31">
        <f t="shared" si="1"/>
        <v>22.564102564102562</v>
      </c>
      <c r="K60" s="154">
        <v>30</v>
      </c>
      <c r="L60" s="70">
        <f>1000*L59*L$6</f>
        <v>0.88363636363636366</v>
      </c>
      <c r="M60" s="155"/>
      <c r="N60" s="70">
        <f>1000*N59*N$6</f>
        <v>0.70833333333333337</v>
      </c>
      <c r="O60" s="68"/>
      <c r="P60" s="14"/>
      <c r="Q60" s="14"/>
      <c r="R60" s="156"/>
      <c r="S60" s="29">
        <f>1000*S59*S$6</f>
        <v>1.2799999999999998</v>
      </c>
      <c r="T60" s="157" t="s">
        <v>190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7" customHeight="1" x14ac:dyDescent="0.2">
      <c r="A61" s="48" t="s">
        <v>191</v>
      </c>
      <c r="B61" s="86" t="s">
        <v>79</v>
      </c>
      <c r="C61" s="98">
        <v>50</v>
      </c>
      <c r="D61" s="158"/>
      <c r="E61" s="63">
        <v>0.02</v>
      </c>
      <c r="F61" s="63">
        <v>0.01</v>
      </c>
      <c r="G61" s="63">
        <v>5.0000000000000001E-3</v>
      </c>
      <c r="H61" s="63">
        <v>4.0000000000000001E-3</v>
      </c>
      <c r="I61" s="78">
        <v>3.0000000000000001E-3</v>
      </c>
      <c r="J61" s="63">
        <v>4.2999999999999997E-2</v>
      </c>
      <c r="K61" s="121"/>
      <c r="L61" s="84"/>
      <c r="M61" s="14"/>
      <c r="N61" s="159"/>
      <c r="O61" s="14"/>
      <c r="P61" s="14"/>
      <c r="Q61" s="14"/>
      <c r="R61" s="160"/>
      <c r="S61" s="84"/>
      <c r="T61" s="138" t="s">
        <v>192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7" customHeight="1" x14ac:dyDescent="0.2">
      <c r="A62" s="44" t="s">
        <v>73</v>
      </c>
      <c r="B62" s="34">
        <f>D62/210</f>
        <v>0.57752969822015898</v>
      </c>
      <c r="C62" s="90" t="s">
        <v>74</v>
      </c>
      <c r="D62" s="31">
        <f>SUM(E62:T62)</f>
        <v>121.28123662623338</v>
      </c>
      <c r="E62" s="31">
        <f t="shared" ref="E62:J62" si="2">1000*E61*E$6</f>
        <v>34.565217391304344</v>
      </c>
      <c r="F62" s="31">
        <f t="shared" si="2"/>
        <v>32.313432835820898</v>
      </c>
      <c r="G62" s="31">
        <f t="shared" si="2"/>
        <v>9.5</v>
      </c>
      <c r="H62" s="31">
        <f t="shared" si="2"/>
        <v>1.56</v>
      </c>
      <c r="I62" s="31">
        <f t="shared" si="2"/>
        <v>1.2913043478260871</v>
      </c>
      <c r="J62" s="31">
        <f t="shared" si="2"/>
        <v>22.051282051282051</v>
      </c>
      <c r="K62" s="161">
        <v>20</v>
      </c>
      <c r="L62" s="14"/>
      <c r="M62" s="14"/>
      <c r="N62" s="120"/>
      <c r="O62" s="14"/>
      <c r="P62" s="14"/>
      <c r="Q62" s="14"/>
      <c r="R62" s="132"/>
      <c r="S62" s="14"/>
      <c r="T62" s="1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7" customHeight="1" x14ac:dyDescent="0.2">
      <c r="A63" s="48" t="s">
        <v>193</v>
      </c>
      <c r="B63" s="104" t="s">
        <v>79</v>
      </c>
      <c r="C63" s="98">
        <v>25</v>
      </c>
      <c r="D63" s="162" t="s">
        <v>158</v>
      </c>
      <c r="E63" s="60">
        <v>0.09</v>
      </c>
      <c r="F63" s="106">
        <v>0.03</v>
      </c>
      <c r="G63" s="106">
        <v>0.09</v>
      </c>
      <c r="H63" s="43"/>
      <c r="I63" s="43"/>
      <c r="J63" s="4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7" customHeight="1" x14ac:dyDescent="0.2">
      <c r="A64" s="163"/>
      <c r="B64" s="163"/>
      <c r="C64" s="164" t="s">
        <v>180</v>
      </c>
      <c r="D64" s="164" t="s">
        <v>44</v>
      </c>
      <c r="E64" s="164" t="s">
        <v>45</v>
      </c>
      <c r="F64" s="164" t="s">
        <v>46</v>
      </c>
      <c r="G64" s="164" t="s">
        <v>47</v>
      </c>
      <c r="H64" s="164" t="s">
        <v>181</v>
      </c>
      <c r="I64" s="164" t="s">
        <v>182</v>
      </c>
      <c r="J64" s="164" t="s">
        <v>183</v>
      </c>
      <c r="K64" s="164" t="s">
        <v>57</v>
      </c>
      <c r="L64" s="164" t="s">
        <v>174</v>
      </c>
      <c r="M64" s="164" t="s">
        <v>55</v>
      </c>
      <c r="N64" s="164" t="s">
        <v>184</v>
      </c>
      <c r="O64" s="164" t="s">
        <v>33</v>
      </c>
      <c r="P64" s="163"/>
      <c r="Q64" s="164" t="s">
        <v>51</v>
      </c>
      <c r="R64" s="164" t="s">
        <v>52</v>
      </c>
      <c r="S64" s="164" t="s">
        <v>50</v>
      </c>
      <c r="T64" s="164" t="s">
        <v>56</v>
      </c>
      <c r="U64" s="164" t="s">
        <v>185</v>
      </c>
      <c r="V64" s="164" t="s">
        <v>186</v>
      </c>
      <c r="W64" s="164" t="s">
        <v>54</v>
      </c>
      <c r="X64" s="164" t="s">
        <v>160</v>
      </c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</row>
    <row r="65" spans="1:35" ht="17" customHeight="1" x14ac:dyDescent="0.2">
      <c r="A65" s="163"/>
      <c r="B65" s="163"/>
      <c r="C65" s="226" t="s">
        <v>194</v>
      </c>
      <c r="D65" s="165">
        <v>0.03</v>
      </c>
      <c r="E65" s="165">
        <v>0.02</v>
      </c>
      <c r="F65" s="165">
        <v>0.04</v>
      </c>
      <c r="G65" s="165">
        <v>0.02</v>
      </c>
      <c r="H65" s="165">
        <v>0.03</v>
      </c>
      <c r="I65" s="165">
        <v>0.03</v>
      </c>
      <c r="J65" s="164" t="s">
        <v>195</v>
      </c>
      <c r="K65" s="166">
        <v>2</v>
      </c>
      <c r="L65" s="166">
        <v>4</v>
      </c>
      <c r="M65" s="166">
        <v>3</v>
      </c>
      <c r="N65" s="166">
        <v>2</v>
      </c>
      <c r="O65" s="166">
        <v>4</v>
      </c>
      <c r="P65" s="163"/>
      <c r="Q65" s="166">
        <v>1.5</v>
      </c>
      <c r="R65" s="166">
        <v>3</v>
      </c>
      <c r="S65" s="166">
        <v>2</v>
      </c>
      <c r="T65" s="166">
        <v>5</v>
      </c>
      <c r="U65" s="166">
        <v>1</v>
      </c>
      <c r="V65" s="166">
        <v>30</v>
      </c>
      <c r="W65" s="166">
        <v>40</v>
      </c>
      <c r="X65" s="164" t="s">
        <v>160</v>
      </c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</row>
    <row r="66" spans="1:35" ht="17" customHeight="1" x14ac:dyDescent="0.2">
      <c r="A66" s="167"/>
      <c r="B66" s="109"/>
      <c r="C66" s="98"/>
      <c r="D66" s="97"/>
      <c r="E66" s="168"/>
      <c r="F66" s="89"/>
      <c r="G66" s="8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7" customHeight="1" x14ac:dyDescent="0.2">
      <c r="A67" s="44" t="s">
        <v>73</v>
      </c>
      <c r="B67" s="34">
        <f>D67/210</f>
        <v>2.0165894131825346</v>
      </c>
      <c r="C67" s="90" t="s">
        <v>74</v>
      </c>
      <c r="D67" s="31">
        <f>SUM(E67:T67)</f>
        <v>423.48377676833223</v>
      </c>
      <c r="E67" s="31">
        <f>1000*E63*E$6</f>
        <v>155.54347826086956</v>
      </c>
      <c r="F67" s="31">
        <f>1000*F63*F$6</f>
        <v>96.940298507462686</v>
      </c>
      <c r="G67" s="31">
        <f>1000*G63*G$6</f>
        <v>171</v>
      </c>
      <c r="H67" s="5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7" customHeight="1" x14ac:dyDescent="0.2">
      <c r="A68" s="10" t="s">
        <v>196</v>
      </c>
      <c r="B68" s="86" t="s">
        <v>79</v>
      </c>
      <c r="C68" s="87">
        <v>40</v>
      </c>
      <c r="D68" s="31">
        <f>2000+M2+C68</f>
        <v>2040</v>
      </c>
      <c r="E68" s="169">
        <v>0.08</v>
      </c>
      <c r="F68" s="63">
        <v>0.06</v>
      </c>
      <c r="G68" s="63">
        <v>0.06</v>
      </c>
      <c r="H68" s="38"/>
      <c r="I68" s="38"/>
      <c r="J68" s="38"/>
      <c r="K68" s="14"/>
      <c r="L68" s="14"/>
      <c r="M68" s="14"/>
      <c r="N68" s="170"/>
      <c r="O68" s="14"/>
      <c r="P68" s="14"/>
      <c r="Q68" s="14"/>
      <c r="R68" s="14"/>
      <c r="S68" s="14"/>
      <c r="T68" s="14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7" customHeight="1" x14ac:dyDescent="0.2">
      <c r="A69" s="44" t="s">
        <v>73</v>
      </c>
      <c r="B69" s="34">
        <f>D69/210</f>
        <v>2.1244831741911558</v>
      </c>
      <c r="C69" s="90" t="s">
        <v>74</v>
      </c>
      <c r="D69" s="31">
        <f>SUM(E69:T69)</f>
        <v>446.14146658014272</v>
      </c>
      <c r="E69" s="31">
        <f>1000*E68*E$6</f>
        <v>138.26086956521738</v>
      </c>
      <c r="F69" s="31">
        <f>1000*F68*F$6</f>
        <v>193.88059701492537</v>
      </c>
      <c r="G69" s="31">
        <f>1000*G68*G$6</f>
        <v>114</v>
      </c>
      <c r="H69" s="51"/>
      <c r="I69" s="38"/>
      <c r="J69" s="38"/>
      <c r="K69" s="14"/>
      <c r="L69" s="14"/>
      <c r="M69" s="14"/>
      <c r="N69" s="170"/>
      <c r="O69" s="14"/>
      <c r="P69" s="171"/>
      <c r="Q69" s="124"/>
      <c r="R69" s="171"/>
      <c r="S69" s="14"/>
      <c r="T69" s="14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7" customHeight="1" x14ac:dyDescent="0.2">
      <c r="A70" s="10" t="s">
        <v>197</v>
      </c>
      <c r="B70" s="86" t="s">
        <v>79</v>
      </c>
      <c r="C70" s="98">
        <v>18</v>
      </c>
      <c r="D70" s="99">
        <v>1800</v>
      </c>
      <c r="E70" s="81"/>
      <c r="F70" s="81"/>
      <c r="G70" s="81"/>
      <c r="H70" s="38"/>
      <c r="I70" s="38"/>
      <c r="J70" s="38"/>
      <c r="K70" s="14"/>
      <c r="L70" s="172">
        <v>0.11</v>
      </c>
      <c r="M70" s="14"/>
      <c r="N70" s="14"/>
      <c r="O70" s="14"/>
      <c r="P70" s="120"/>
      <c r="Q70" s="148"/>
      <c r="R70" s="170"/>
      <c r="S70" s="14"/>
      <c r="T70" s="14"/>
      <c r="U70" s="5"/>
      <c r="V70" s="5"/>
      <c r="W70" s="22" t="s">
        <v>198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7" customHeight="1" x14ac:dyDescent="0.2">
      <c r="A71" s="44" t="s">
        <v>73</v>
      </c>
      <c r="B71" s="34">
        <f>D71/210</f>
        <v>8.5714285714285712</v>
      </c>
      <c r="C71" s="90" t="s">
        <v>74</v>
      </c>
      <c r="D71" s="31">
        <f>SUM(E71:T71)</f>
        <v>1800</v>
      </c>
      <c r="E71" s="51"/>
      <c r="F71" s="38"/>
      <c r="G71" s="38"/>
      <c r="H71" s="38"/>
      <c r="I71" s="38"/>
      <c r="J71" s="38"/>
      <c r="K71" s="125"/>
      <c r="L71" s="140">
        <f>1000*L70*L$6</f>
        <v>1800</v>
      </c>
      <c r="M71" s="68"/>
      <c r="N71" s="14"/>
      <c r="O71" s="14"/>
      <c r="P71" s="120"/>
      <c r="Q71" s="148"/>
      <c r="R71" s="170"/>
      <c r="S71" s="14"/>
      <c r="T71" s="14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7" customHeight="1" x14ac:dyDescent="0.2">
      <c r="A72" s="10" t="s">
        <v>199</v>
      </c>
      <c r="B72" s="86" t="s">
        <v>79</v>
      </c>
      <c r="C72" s="98">
        <v>18</v>
      </c>
      <c r="D72" s="99">
        <v>20000</v>
      </c>
      <c r="E72" s="38"/>
      <c r="F72" s="38"/>
      <c r="G72" s="38"/>
      <c r="H72" s="38"/>
      <c r="I72" s="38"/>
      <c r="J72" s="38"/>
      <c r="K72" s="14"/>
      <c r="L72" s="84"/>
      <c r="M72" s="172">
        <v>0.21</v>
      </c>
      <c r="N72" s="14"/>
      <c r="O72" s="14"/>
      <c r="P72" s="14"/>
      <c r="Q72" s="148"/>
      <c r="R72" s="14"/>
      <c r="S72" s="14"/>
      <c r="T72" s="1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7" customHeight="1" x14ac:dyDescent="0.2">
      <c r="A73" s="44" t="s">
        <v>73</v>
      </c>
      <c r="B73" s="34">
        <f>D73/210</f>
        <v>95.238095238095241</v>
      </c>
      <c r="C73" s="90" t="s">
        <v>74</v>
      </c>
      <c r="D73" s="31">
        <f>SUM(E73:T73)</f>
        <v>20000</v>
      </c>
      <c r="E73" s="51"/>
      <c r="F73" s="38"/>
      <c r="G73" s="38"/>
      <c r="H73" s="38"/>
      <c r="I73" s="38"/>
      <c r="J73" s="38"/>
      <c r="K73" s="14"/>
      <c r="L73" s="125"/>
      <c r="M73" s="173">
        <f>1000*M72*M$6</f>
        <v>20000</v>
      </c>
      <c r="N73" s="68"/>
      <c r="O73" s="171"/>
      <c r="P73" s="171"/>
      <c r="Q73" s="148"/>
      <c r="R73" s="170"/>
      <c r="S73" s="14"/>
      <c r="T73" s="14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7" customHeight="1" x14ac:dyDescent="0.2">
      <c r="A74" s="10" t="s">
        <v>200</v>
      </c>
      <c r="B74" s="86" t="s">
        <v>79</v>
      </c>
      <c r="C74" s="98">
        <v>18</v>
      </c>
      <c r="D74" s="99">
        <v>2500</v>
      </c>
      <c r="E74" s="38"/>
      <c r="F74" s="38"/>
      <c r="G74" s="38"/>
      <c r="H74" s="38"/>
      <c r="I74" s="38"/>
      <c r="J74" s="38"/>
      <c r="K74" s="14"/>
      <c r="L74" s="14"/>
      <c r="M74" s="84"/>
      <c r="N74" s="172">
        <v>0.24</v>
      </c>
      <c r="O74" s="14"/>
      <c r="P74" s="120"/>
      <c r="Q74" s="148"/>
      <c r="R74" s="170"/>
      <c r="S74" s="171"/>
      <c r="T74" s="14"/>
      <c r="U74" s="14"/>
      <c r="V74" s="14"/>
      <c r="W74" s="14"/>
      <c r="X74" s="14"/>
      <c r="Y74" s="14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7" customHeight="1" x14ac:dyDescent="0.2">
      <c r="A75" s="44" t="s">
        <v>73</v>
      </c>
      <c r="B75" s="34">
        <f>D75/210</f>
        <v>11.904761904761905</v>
      </c>
      <c r="C75" s="90" t="s">
        <v>74</v>
      </c>
      <c r="D75" s="31">
        <f>SUM(E75:T75)</f>
        <v>2500</v>
      </c>
      <c r="E75" s="51"/>
      <c r="F75" s="38"/>
      <c r="G75" s="38"/>
      <c r="H75" s="38"/>
      <c r="I75" s="38"/>
      <c r="J75" s="38"/>
      <c r="K75" s="14"/>
      <c r="L75" s="14"/>
      <c r="M75" s="125"/>
      <c r="N75" s="140">
        <f>1000*N74*N$6</f>
        <v>2500</v>
      </c>
      <c r="O75" s="68"/>
      <c r="P75" s="14"/>
      <c r="Q75" s="148"/>
      <c r="R75" s="14"/>
      <c r="S75" s="170"/>
      <c r="T75" s="14"/>
      <c r="U75" s="14"/>
      <c r="V75" s="14"/>
      <c r="W75" s="14"/>
      <c r="X75" s="14"/>
      <c r="Y75" s="14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7" customHeight="1" x14ac:dyDescent="0.2">
      <c r="A76" s="10" t="s">
        <v>201</v>
      </c>
      <c r="B76" s="86" t="s">
        <v>79</v>
      </c>
      <c r="C76" s="98">
        <v>18</v>
      </c>
      <c r="D76" s="99">
        <v>30000</v>
      </c>
      <c r="E76" s="38"/>
      <c r="F76" s="38"/>
      <c r="G76" s="38"/>
      <c r="H76" s="38"/>
      <c r="I76" s="38"/>
      <c r="J76" s="38"/>
      <c r="K76" s="14"/>
      <c r="L76" s="14"/>
      <c r="M76" s="14"/>
      <c r="N76" s="174"/>
      <c r="O76" s="172">
        <v>1</v>
      </c>
      <c r="P76" s="14"/>
      <c r="Q76" s="148"/>
      <c r="R76" s="14"/>
      <c r="S76" s="170"/>
      <c r="T76" s="14"/>
      <c r="U76" s="14"/>
      <c r="V76" s="14"/>
      <c r="W76" s="14"/>
      <c r="X76" s="14"/>
      <c r="Y76" s="14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7" customHeight="1" x14ac:dyDescent="0.2">
      <c r="A77" s="44" t="s">
        <v>73</v>
      </c>
      <c r="B77" s="34">
        <f>D77/210</f>
        <v>142.85714285714286</v>
      </c>
      <c r="C77" s="90" t="s">
        <v>74</v>
      </c>
      <c r="D77" s="31">
        <f>SUM(E77:T77)</f>
        <v>30000</v>
      </c>
      <c r="E77" s="51"/>
      <c r="F77" s="38"/>
      <c r="G77" s="38"/>
      <c r="H77" s="38"/>
      <c r="I77" s="38"/>
      <c r="J77" s="38"/>
      <c r="K77" s="14"/>
      <c r="L77" s="14"/>
      <c r="M77" s="14"/>
      <c r="N77" s="125"/>
      <c r="O77" s="140">
        <f>1000*O76*O$6</f>
        <v>30000</v>
      </c>
      <c r="P77" s="68"/>
      <c r="Q77" s="14"/>
      <c r="R77" s="92"/>
      <c r="S77" s="14"/>
      <c r="T77" s="14"/>
      <c r="U77" s="14"/>
      <c r="V77" s="14"/>
      <c r="W77" s="14"/>
      <c r="X77" s="14"/>
      <c r="Y77" s="14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7" customHeight="1" x14ac:dyDescent="0.2">
      <c r="A78" s="48" t="s">
        <v>202</v>
      </c>
      <c r="B78" s="86" t="s">
        <v>79</v>
      </c>
      <c r="C78" s="98">
        <v>18</v>
      </c>
      <c r="D78" s="99">
        <v>170</v>
      </c>
      <c r="E78" s="38"/>
      <c r="F78" s="38"/>
      <c r="G78" s="38"/>
      <c r="H78" s="38"/>
      <c r="I78" s="38"/>
      <c r="J78" s="38"/>
      <c r="K78" s="14"/>
      <c r="L78" s="14"/>
      <c r="M78" s="14"/>
      <c r="N78" s="14"/>
      <c r="O78" s="84"/>
      <c r="P78" s="14"/>
      <c r="Q78" s="171"/>
      <c r="R78" s="66">
        <v>2.7E-2</v>
      </c>
      <c r="S78" s="170"/>
      <c r="T78" s="14"/>
      <c r="U78" s="14"/>
      <c r="V78" s="14"/>
      <c r="W78" s="14"/>
      <c r="X78" s="14"/>
      <c r="Y78" s="14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7" customHeight="1" x14ac:dyDescent="0.2">
      <c r="A79" s="44" t="s">
        <v>73</v>
      </c>
      <c r="B79" s="34">
        <f>D79/210</f>
        <v>0.80952380952380953</v>
      </c>
      <c r="C79" s="90" t="s">
        <v>74</v>
      </c>
      <c r="D79" s="31">
        <f>SUM(E79:T79)</f>
        <v>170</v>
      </c>
      <c r="E79" s="51"/>
      <c r="F79" s="38"/>
      <c r="G79" s="38"/>
      <c r="H79" s="38"/>
      <c r="I79" s="38"/>
      <c r="J79" s="38"/>
      <c r="K79" s="14"/>
      <c r="L79" s="14"/>
      <c r="M79" s="14"/>
      <c r="N79" s="14"/>
      <c r="O79" s="14"/>
      <c r="P79" s="14"/>
      <c r="Q79" s="175"/>
      <c r="R79" s="140">
        <f>1000*R78*R$6</f>
        <v>170</v>
      </c>
      <c r="S79" s="176"/>
      <c r="T79" s="14"/>
      <c r="U79" s="14"/>
      <c r="V79" s="14"/>
      <c r="W79" s="14"/>
      <c r="X79" s="14"/>
      <c r="Y79" s="14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7" customHeight="1" x14ac:dyDescent="0.2">
      <c r="A80" s="10" t="s">
        <v>203</v>
      </c>
      <c r="B80" s="86" t="s">
        <v>79</v>
      </c>
      <c r="C80" s="98">
        <v>18</v>
      </c>
      <c r="D80" s="99">
        <v>1600</v>
      </c>
      <c r="E80" s="38"/>
      <c r="F80" s="38"/>
      <c r="G80" s="38"/>
      <c r="H80" s="38"/>
      <c r="I80" s="38"/>
      <c r="J80" s="38"/>
      <c r="K80" s="14"/>
      <c r="L80" s="14"/>
      <c r="M80" s="14"/>
      <c r="N80" s="14"/>
      <c r="O80" s="14"/>
      <c r="P80" s="14"/>
      <c r="Q80" s="14"/>
      <c r="R80" s="84"/>
      <c r="S80" s="172">
        <v>0.35</v>
      </c>
      <c r="T80" s="6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7" customHeight="1" x14ac:dyDescent="0.2">
      <c r="A81" s="44" t="s">
        <v>73</v>
      </c>
      <c r="B81" s="34">
        <f>D81/210</f>
        <v>7.6190476190476186</v>
      </c>
      <c r="C81" s="90" t="s">
        <v>74</v>
      </c>
      <c r="D81" s="31">
        <f>SUM(E81:T81)</f>
        <v>1600</v>
      </c>
      <c r="E81" s="51"/>
      <c r="F81" s="38"/>
      <c r="G81" s="38"/>
      <c r="H81" s="38"/>
      <c r="I81" s="38"/>
      <c r="J81" s="38"/>
      <c r="K81" s="14"/>
      <c r="L81" s="14"/>
      <c r="M81" s="14"/>
      <c r="N81" s="14"/>
      <c r="O81" s="14"/>
      <c r="P81" s="14"/>
      <c r="Q81" s="14"/>
      <c r="R81" s="125"/>
      <c r="S81" s="140">
        <f>1000*S80*S$6</f>
        <v>1600</v>
      </c>
      <c r="T81" s="68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7" customHeight="1" x14ac:dyDescent="0.2">
      <c r="A82" s="10" t="s">
        <v>204</v>
      </c>
      <c r="B82" s="86" t="s">
        <v>79</v>
      </c>
      <c r="C82" s="98">
        <v>18</v>
      </c>
      <c r="D82" s="99">
        <v>7500</v>
      </c>
      <c r="E82" s="38"/>
      <c r="F82" s="38"/>
      <c r="G82" s="38"/>
      <c r="H82" s="38"/>
      <c r="I82" s="38"/>
      <c r="J82" s="38"/>
      <c r="K82" s="14"/>
      <c r="L82" s="14"/>
      <c r="M82" s="14"/>
      <c r="N82" s="14"/>
      <c r="O82" s="14"/>
      <c r="P82" s="14"/>
      <c r="Q82" s="14"/>
      <c r="R82" s="148"/>
      <c r="S82" s="84"/>
      <c r="T82" s="172">
        <v>0.01</v>
      </c>
      <c r="U82" s="14"/>
      <c r="V82" s="14"/>
      <c r="W82" s="14"/>
      <c r="X82" s="14"/>
      <c r="Y82" s="14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7" customHeight="1" x14ac:dyDescent="0.2">
      <c r="A83" s="44" t="s">
        <v>73</v>
      </c>
      <c r="B83" s="34">
        <f>D83/210</f>
        <v>35.714285714285715</v>
      </c>
      <c r="C83" s="90" t="s">
        <v>74</v>
      </c>
      <c r="D83" s="31">
        <f>SUM(E83:T83)</f>
        <v>7500</v>
      </c>
      <c r="E83" s="51"/>
      <c r="F83" s="38"/>
      <c r="G83" s="38"/>
      <c r="H83" s="38"/>
      <c r="I83" s="38"/>
      <c r="J83" s="38"/>
      <c r="K83" s="14"/>
      <c r="L83" s="14"/>
      <c r="M83" s="14"/>
      <c r="N83" s="14"/>
      <c r="O83" s="14"/>
      <c r="P83" s="14"/>
      <c r="Q83" s="14"/>
      <c r="R83" s="148"/>
      <c r="S83" s="125"/>
      <c r="T83" s="140">
        <f>1000*T82*T$6</f>
        <v>7500</v>
      </c>
      <c r="U83" s="68"/>
      <c r="V83" s="14"/>
      <c r="W83" s="14"/>
      <c r="X83" s="14"/>
      <c r="Y83" s="14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7" customHeight="1" x14ac:dyDescent="0.2">
      <c r="A84" s="10" t="s">
        <v>205</v>
      </c>
      <c r="B84" s="86" t="s">
        <v>79</v>
      </c>
      <c r="C84" s="98"/>
      <c r="D84" s="99">
        <v>30000</v>
      </c>
      <c r="E84" s="38"/>
      <c r="F84" s="38"/>
      <c r="G84" s="38"/>
      <c r="H84" s="38"/>
      <c r="I84" s="38"/>
      <c r="J84" s="38"/>
      <c r="K84" s="14"/>
      <c r="L84" s="14"/>
      <c r="M84" s="14"/>
      <c r="N84" s="14"/>
      <c r="O84" s="14"/>
      <c r="P84" s="14"/>
      <c r="Q84" s="14"/>
      <c r="R84" s="14"/>
      <c r="S84" s="14"/>
      <c r="T84" s="8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7" customHeight="1" x14ac:dyDescent="0.2">
      <c r="A85" s="44" t="s">
        <v>73</v>
      </c>
      <c r="B85" s="34">
        <f>D85/210</f>
        <v>0</v>
      </c>
      <c r="C85" s="90" t="s">
        <v>74</v>
      </c>
      <c r="D85" s="31">
        <f>SUM(E85:T85)</f>
        <v>0</v>
      </c>
      <c r="E85" s="5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7" customHeight="1" x14ac:dyDescent="0.2">
      <c r="A86" s="48" t="s">
        <v>206</v>
      </c>
      <c r="B86" s="104" t="s">
        <v>79</v>
      </c>
      <c r="C86" s="98"/>
      <c r="D86" s="99">
        <v>3333</v>
      </c>
      <c r="E86" s="97">
        <v>0.08</v>
      </c>
      <c r="F86" s="97">
        <v>0.05</v>
      </c>
      <c r="G86" s="97">
        <v>0.05</v>
      </c>
      <c r="H86" s="97"/>
      <c r="I86" s="97"/>
      <c r="J86" s="97"/>
      <c r="K86" s="107"/>
      <c r="L86" s="66"/>
      <c r="M86" s="66"/>
      <c r="N86" s="66"/>
      <c r="O86" s="66"/>
      <c r="P86" s="160"/>
      <c r="Q86" s="160"/>
      <c r="R86" s="66"/>
      <c r="S86" s="66"/>
      <c r="T86" s="177"/>
      <c r="U86" s="107"/>
      <c r="V86" s="107"/>
      <c r="W86" s="107"/>
      <c r="X86" s="107"/>
      <c r="Y86" s="107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7" customHeight="1" x14ac:dyDescent="0.2">
      <c r="A87" s="48" t="s">
        <v>207</v>
      </c>
      <c r="B87" s="49" t="s">
        <v>66</v>
      </c>
      <c r="C87" s="44" t="s">
        <v>74</v>
      </c>
      <c r="D87" s="31">
        <f>SUM(E87:T87)</f>
        <v>394.82803374432183</v>
      </c>
      <c r="E87" s="31">
        <f t="shared" ref="E87:J87" si="3">1000*E86*E$6</f>
        <v>138.26086956521738</v>
      </c>
      <c r="F87" s="29">
        <f t="shared" si="3"/>
        <v>161.56716417910448</v>
      </c>
      <c r="G87" s="29">
        <f t="shared" si="3"/>
        <v>95</v>
      </c>
      <c r="H87" s="29">
        <f t="shared" si="3"/>
        <v>0</v>
      </c>
      <c r="I87" s="29">
        <f t="shared" si="3"/>
        <v>0</v>
      </c>
      <c r="J87" s="29">
        <f t="shared" si="3"/>
        <v>0</v>
      </c>
      <c r="K87" s="178"/>
      <c r="L87" s="70">
        <f>1000*L86*L$6</f>
        <v>0</v>
      </c>
      <c r="M87" s="70">
        <f>1000*M86*M$6</f>
        <v>0</v>
      </c>
      <c r="N87" s="70">
        <f>1000*N86*N$6</f>
        <v>0</v>
      </c>
      <c r="O87" s="70">
        <f>1000*O86*O$6</f>
        <v>0</v>
      </c>
      <c r="P87" s="179"/>
      <c r="Q87" s="80"/>
      <c r="R87" s="70">
        <f>1000*R86*T$6</f>
        <v>0</v>
      </c>
      <c r="S87" s="70">
        <f>1000*S86*S$6</f>
        <v>0</v>
      </c>
      <c r="T87" s="180"/>
      <c r="U87" s="107"/>
      <c r="V87" s="107"/>
      <c r="W87" s="107"/>
      <c r="X87" s="107"/>
      <c r="Y87" s="107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7" customHeight="1" x14ac:dyDescent="0.2">
      <c r="A88" s="48" t="s">
        <v>208</v>
      </c>
      <c r="B88" s="142" t="s">
        <v>79</v>
      </c>
      <c r="C88" s="98"/>
      <c r="D88" s="99">
        <v>3148</v>
      </c>
      <c r="E88" s="73">
        <v>0.08</v>
      </c>
      <c r="F88" s="73">
        <v>3.0000000000000001E-3</v>
      </c>
      <c r="G88" s="73">
        <v>0.01</v>
      </c>
      <c r="H88" s="73">
        <v>1.4999999999999999E-2</v>
      </c>
      <c r="I88" s="73">
        <v>8.4000000000000003E-4</v>
      </c>
      <c r="J88" s="73">
        <v>0</v>
      </c>
      <c r="K88" s="107"/>
      <c r="L88" s="74">
        <v>2.9999999999999999E-7</v>
      </c>
      <c r="M88" s="74">
        <v>5.9999999999999997E-7</v>
      </c>
      <c r="N88" s="74">
        <v>8.4E-7</v>
      </c>
      <c r="O88" s="74">
        <v>5.0000000000000001E-9</v>
      </c>
      <c r="P88" s="160"/>
      <c r="Q88" s="160"/>
      <c r="R88" s="74">
        <v>1.0000000000000001E-5</v>
      </c>
      <c r="S88" s="74">
        <v>5.0000000000000002E-5</v>
      </c>
      <c r="T88" s="177"/>
      <c r="U88" s="107"/>
      <c r="V88" s="107"/>
      <c r="W88" s="107"/>
      <c r="X88" s="107"/>
      <c r="Y88" s="107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7" customHeight="1" x14ac:dyDescent="0.2">
      <c r="A89" s="44" t="s">
        <v>73</v>
      </c>
      <c r="B89" s="34">
        <f>D89/210</f>
        <v>0.86174280004751558</v>
      </c>
      <c r="C89" s="90" t="s">
        <v>74</v>
      </c>
      <c r="D89" s="31">
        <f>SUM(E89:T89)</f>
        <v>180.96598800997828</v>
      </c>
      <c r="E89" s="31">
        <f t="shared" ref="E89:J89" si="4">1000*E88*E$6</f>
        <v>138.26086956521738</v>
      </c>
      <c r="F89" s="29">
        <f t="shared" si="4"/>
        <v>9.6940298507462686</v>
      </c>
      <c r="G89" s="29">
        <f t="shared" si="4"/>
        <v>19</v>
      </c>
      <c r="H89" s="29">
        <f t="shared" si="4"/>
        <v>5.8500000000000005</v>
      </c>
      <c r="I89" s="29">
        <f t="shared" si="4"/>
        <v>0.36156521739130437</v>
      </c>
      <c r="J89" s="29">
        <f t="shared" si="4"/>
        <v>0</v>
      </c>
      <c r="K89" s="178"/>
      <c r="L89" s="70">
        <f>1000*L88*L$6</f>
        <v>4.909090909090909E-3</v>
      </c>
      <c r="M89" s="70">
        <f>1000*M88*M$6</f>
        <v>5.7142857142857141E-2</v>
      </c>
      <c r="N89" s="70">
        <f>1000*N88*N$6</f>
        <v>8.7499999999999991E-3</v>
      </c>
      <c r="O89" s="70">
        <f>1000*O88*O$6</f>
        <v>1.5000000000000001E-4</v>
      </c>
      <c r="P89" s="179"/>
      <c r="Q89" s="80"/>
      <c r="R89" s="70">
        <f>1000*R88*T$6</f>
        <v>7.5</v>
      </c>
      <c r="S89" s="70">
        <f>1000*S88*S$6</f>
        <v>0.22857142857142856</v>
      </c>
      <c r="T89" s="180"/>
      <c r="U89" s="107"/>
      <c r="V89" s="107"/>
      <c r="W89" s="107"/>
      <c r="X89" s="107"/>
      <c r="Y89" s="107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7" customHeight="1" x14ac:dyDescent="0.2">
      <c r="A90" s="48" t="s">
        <v>209</v>
      </c>
      <c r="B90" s="86" t="s">
        <v>79</v>
      </c>
      <c r="C90" s="98"/>
      <c r="D90" s="99">
        <v>4000</v>
      </c>
      <c r="E90" s="63">
        <v>0.09</v>
      </c>
      <c r="F90" s="63">
        <v>0.13500000000000001</v>
      </c>
      <c r="G90" s="63">
        <v>0.06</v>
      </c>
      <c r="H90" s="63">
        <v>5.0000000000000001E-3</v>
      </c>
      <c r="I90" s="63">
        <v>1.5E-3</v>
      </c>
      <c r="J90" s="63">
        <v>0</v>
      </c>
      <c r="K90" s="160"/>
      <c r="L90" s="74">
        <v>8.0000000000000007E-5</v>
      </c>
      <c r="M90" s="74">
        <v>3.0000000000000001E-5</v>
      </c>
      <c r="N90" s="74">
        <v>6.9999999999999994E-5</v>
      </c>
      <c r="O90" s="74">
        <v>5.2E-7</v>
      </c>
      <c r="P90" s="160"/>
      <c r="Q90" s="160"/>
      <c r="R90" s="74">
        <v>3.1E-4</v>
      </c>
      <c r="S90" s="74">
        <v>5.0000000000000002E-5</v>
      </c>
      <c r="T90" s="160"/>
      <c r="U90" s="160"/>
      <c r="V90" s="160"/>
      <c r="W90" s="160"/>
      <c r="X90" s="160"/>
      <c r="Y90" s="160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7" customHeight="1" x14ac:dyDescent="0.2">
      <c r="A91" s="44" t="s">
        <v>73</v>
      </c>
      <c r="B91" s="34">
        <f>D91/210</f>
        <v>3.4069614163413733</v>
      </c>
      <c r="C91" s="90" t="s">
        <v>74</v>
      </c>
      <c r="D91" s="31">
        <f>SUM(E91:T91)</f>
        <v>715.46189743168839</v>
      </c>
      <c r="E91" s="31">
        <f t="shared" ref="E91:J91" si="5">1000*E90*E$6</f>
        <v>155.54347826086956</v>
      </c>
      <c r="F91" s="31">
        <f t="shared" si="5"/>
        <v>436.23134328358208</v>
      </c>
      <c r="G91" s="29">
        <f t="shared" si="5"/>
        <v>114</v>
      </c>
      <c r="H91" s="29">
        <f t="shared" si="5"/>
        <v>1.9500000000000002</v>
      </c>
      <c r="I91" s="29">
        <f t="shared" si="5"/>
        <v>0.64565217391304353</v>
      </c>
      <c r="J91" s="29">
        <f t="shared" si="5"/>
        <v>0</v>
      </c>
      <c r="K91" s="178"/>
      <c r="L91" s="70">
        <f>1000*L90*L$6</f>
        <v>1.3090909090909091</v>
      </c>
      <c r="M91" s="70">
        <f>1000*M90*M$6</f>
        <v>2.8571428571428577</v>
      </c>
      <c r="N91" s="70">
        <f>1000*N90*N$6</f>
        <v>0.72916666666666652</v>
      </c>
      <c r="O91" s="70">
        <f>1000*O90*O$6</f>
        <v>1.5599999999999999E-2</v>
      </c>
      <c r="P91" s="179"/>
      <c r="Q91" s="80"/>
      <c r="R91" s="70">
        <f>1000*R90*R$6</f>
        <v>1.9518518518518519</v>
      </c>
      <c r="S91" s="70">
        <f>1000*S90*S$6</f>
        <v>0.22857142857142856</v>
      </c>
      <c r="T91" s="180"/>
      <c r="U91" s="107"/>
      <c r="V91" s="107"/>
      <c r="W91" s="107"/>
      <c r="X91" s="107"/>
      <c r="Y91" s="107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7" customHeight="1" x14ac:dyDescent="0.2">
      <c r="A92" s="48" t="s">
        <v>210</v>
      </c>
      <c r="B92" s="86" t="s">
        <v>79</v>
      </c>
      <c r="C92" s="98"/>
      <c r="D92" s="73"/>
      <c r="E92" s="101">
        <v>0.05</v>
      </c>
      <c r="F92" s="73">
        <v>0.03</v>
      </c>
      <c r="G92" s="73">
        <v>0.05</v>
      </c>
      <c r="H92" s="116"/>
      <c r="I92" s="116"/>
      <c r="J92" s="81"/>
      <c r="K92" s="14"/>
      <c r="L92" s="84"/>
      <c r="M92" s="84"/>
      <c r="N92" s="84"/>
      <c r="O92" s="84"/>
      <c r="P92" s="107"/>
      <c r="Q92" s="107"/>
      <c r="R92" s="181"/>
      <c r="S92" s="181"/>
      <c r="T92" s="107"/>
      <c r="U92" s="107"/>
      <c r="V92" s="107"/>
      <c r="W92" s="107"/>
      <c r="X92" s="107"/>
      <c r="Y92" s="107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7" customHeight="1" x14ac:dyDescent="0.2">
      <c r="A93" s="44" t="s">
        <v>73</v>
      </c>
      <c r="B93" s="34">
        <f>D93/210</f>
        <v>1.3254921046939216</v>
      </c>
      <c r="C93" s="90" t="s">
        <v>74</v>
      </c>
      <c r="D93" s="31">
        <f>SUM(E93:T93)</f>
        <v>278.35334198572355</v>
      </c>
      <c r="E93" s="31">
        <f>1000*E92*E$6</f>
        <v>86.41304347826086</v>
      </c>
      <c r="F93" s="31">
        <f>1000*F92*F$6</f>
        <v>96.940298507462686</v>
      </c>
      <c r="G93" s="31">
        <f>1000*G92*G$6</f>
        <v>95</v>
      </c>
      <c r="H93" s="144"/>
      <c r="I93" s="147"/>
      <c r="J93" s="38"/>
      <c r="K93" s="14"/>
      <c r="L93" s="14"/>
      <c r="M93" s="14"/>
      <c r="N93" s="14"/>
      <c r="O93" s="14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7" customHeight="1" x14ac:dyDescent="0.2">
      <c r="A94" s="48" t="s">
        <v>211</v>
      </c>
      <c r="B94" s="86" t="s">
        <v>79</v>
      </c>
      <c r="C94" s="98"/>
      <c r="D94" s="73"/>
      <c r="E94" s="101">
        <v>0.05</v>
      </c>
      <c r="F94" s="73">
        <v>0.02</v>
      </c>
      <c r="G94" s="73">
        <v>5.0000000000000001E-3</v>
      </c>
      <c r="H94" s="10" t="s">
        <v>212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7" customHeight="1" x14ac:dyDescent="0.2">
      <c r="A95" s="44" t="s">
        <v>73</v>
      </c>
      <c r="B95" s="34">
        <f>D95/210</f>
        <v>0.76447575785667932</v>
      </c>
      <c r="C95" s="90" t="s">
        <v>74</v>
      </c>
      <c r="D95" s="31">
        <f>SUM(E95:T95)</f>
        <v>160.53990914990266</v>
      </c>
      <c r="E95" s="31">
        <f>1000*E94*E$6</f>
        <v>86.41304347826086</v>
      </c>
      <c r="F95" s="31">
        <f>1000*F94*F$6</f>
        <v>64.626865671641795</v>
      </c>
      <c r="G95" s="31">
        <f>1000*G94*G$6</f>
        <v>9.5</v>
      </c>
      <c r="H95" s="18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7" customHeight="1" x14ac:dyDescent="0.2">
      <c r="A96" s="10" t="s">
        <v>213</v>
      </c>
      <c r="B96" s="86" t="s">
        <v>79</v>
      </c>
      <c r="C96" s="98"/>
      <c r="D96" s="99">
        <v>103</v>
      </c>
      <c r="E96" s="19"/>
      <c r="F96" s="43"/>
      <c r="G96" s="4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7" customHeight="1" x14ac:dyDescent="0.2">
      <c r="A97" s="44" t="s">
        <v>73</v>
      </c>
      <c r="B97" s="34">
        <f>D97/210</f>
        <v>0</v>
      </c>
      <c r="C97" s="90" t="s">
        <v>74</v>
      </c>
      <c r="D97" s="31">
        <f>SUM(E97:T97)</f>
        <v>0</v>
      </c>
      <c r="E97" s="183"/>
      <c r="F97" s="41"/>
      <c r="G97" s="41"/>
      <c r="H97" s="41"/>
      <c r="I97" s="41"/>
      <c r="J97" s="184"/>
      <c r="K97" s="167"/>
      <c r="L97" s="167"/>
      <c r="M97" s="167"/>
      <c r="N97" s="167"/>
      <c r="O97" s="167"/>
      <c r="P97" s="92"/>
      <c r="Q97" s="92"/>
      <c r="R97" s="92"/>
      <c r="S97" s="92"/>
      <c r="T97" s="92"/>
      <c r="U97" s="92"/>
      <c r="V97" s="14"/>
      <c r="W97" s="14"/>
      <c r="X97" s="14"/>
      <c r="Y97" s="14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7" customHeight="1" x14ac:dyDescent="0.2">
      <c r="A98" s="48" t="s">
        <v>214</v>
      </c>
      <c r="B98" s="86" t="s">
        <v>79</v>
      </c>
      <c r="C98" s="98"/>
      <c r="D98" s="158"/>
      <c r="E98" s="185"/>
      <c r="F98" s="61">
        <v>0.01</v>
      </c>
      <c r="G98" s="61">
        <v>0.05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7" customHeight="1" x14ac:dyDescent="0.2">
      <c r="A99" s="44" t="s">
        <v>73</v>
      </c>
      <c r="B99" s="34">
        <f>D99/210</f>
        <v>0.60625444207533752</v>
      </c>
      <c r="C99" s="90" t="s">
        <v>74</v>
      </c>
      <c r="D99" s="31">
        <f>SUM(E99:T99)</f>
        <v>127.31343283582089</v>
      </c>
      <c r="E99" s="186"/>
      <c r="F99" s="31">
        <f>1000*F98*F$6</f>
        <v>32.313432835820898</v>
      </c>
      <c r="G99" s="31">
        <f>1000*G98*G$6</f>
        <v>95</v>
      </c>
      <c r="H99" s="51"/>
      <c r="I99" s="38"/>
      <c r="J99" s="38"/>
      <c r="K99" s="14"/>
      <c r="L99" s="14"/>
      <c r="M99" s="14"/>
      <c r="N99" s="14"/>
      <c r="O99" s="14"/>
      <c r="P99" s="14"/>
      <c r="Q99" s="124"/>
      <c r="R99" s="148"/>
      <c r="S99" s="1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7" customHeight="1" x14ac:dyDescent="0.2">
      <c r="A100" s="48" t="s">
        <v>215</v>
      </c>
      <c r="B100" s="104" t="s">
        <v>60</v>
      </c>
      <c r="C100" s="113">
        <v>0.6</v>
      </c>
      <c r="D100" s="99">
        <f>C100*1000</f>
        <v>600</v>
      </c>
      <c r="E100" s="46">
        <v>0.04</v>
      </c>
      <c r="F100" s="106"/>
      <c r="G100" s="106"/>
      <c r="H100" s="6"/>
      <c r="I100" s="185"/>
      <c r="J100" s="38"/>
      <c r="K100" s="14"/>
      <c r="L100" s="6"/>
      <c r="M100" s="14"/>
      <c r="N100" s="14"/>
      <c r="O100" s="14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7" customHeight="1" x14ac:dyDescent="0.2">
      <c r="A101" s="49" t="s">
        <v>73</v>
      </c>
      <c r="B101" s="14"/>
      <c r="C101" s="44" t="s">
        <v>74</v>
      </c>
      <c r="D101" s="31">
        <f>SUM(E101:T101)</f>
        <v>69.130434782608688</v>
      </c>
      <c r="E101" s="31">
        <f>1000*E100*E$6</f>
        <v>69.130434782608688</v>
      </c>
      <c r="F101" s="88"/>
      <c r="G101" s="102"/>
      <c r="H101" s="185"/>
      <c r="I101" s="185"/>
      <c r="J101" s="38"/>
      <c r="K101" s="14"/>
      <c r="L101" s="14"/>
      <c r="M101" s="14"/>
      <c r="N101" s="14"/>
      <c r="O101" s="14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7" customHeight="1" x14ac:dyDescent="0.2">
      <c r="A102" s="167"/>
      <c r="B102" s="109"/>
      <c r="C102" s="124"/>
      <c r="D102" s="158"/>
      <c r="E102" s="188"/>
      <c r="F102" s="89"/>
      <c r="G102" s="89"/>
      <c r="H102" s="185"/>
      <c r="I102" s="185"/>
      <c r="J102" s="38"/>
      <c r="K102" s="14"/>
      <c r="L102" s="14"/>
      <c r="M102" s="14"/>
      <c r="N102" s="14"/>
      <c r="O102" s="14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7" customHeight="1" x14ac:dyDescent="0.2">
      <c r="A103" s="44" t="s">
        <v>73</v>
      </c>
      <c r="B103" s="34">
        <f>D103/210</f>
        <v>0.32919254658385089</v>
      </c>
      <c r="C103" s="90" t="s">
        <v>74</v>
      </c>
      <c r="D103" s="31">
        <f>SUM(E103:T103)</f>
        <v>69.130434782608688</v>
      </c>
      <c r="E103" s="31">
        <f>1000*E100*E$6</f>
        <v>69.130434782608688</v>
      </c>
      <c r="F103" s="31">
        <f>1000*F100*F$6</f>
        <v>0</v>
      </c>
      <c r="G103" s="31">
        <f>1000*G100*G$6</f>
        <v>0</v>
      </c>
      <c r="H103" s="189"/>
      <c r="I103" s="185"/>
      <c r="J103" s="41"/>
      <c r="K103" s="92"/>
      <c r="L103" s="187"/>
      <c r="M103" s="187"/>
      <c r="N103" s="190"/>
      <c r="O103" s="187"/>
      <c r="P103" s="191"/>
      <c r="Q103" s="187"/>
      <c r="R103" s="191"/>
      <c r="S103" s="190"/>
      <c r="T103" s="191"/>
      <c r="U103" s="187"/>
      <c r="V103" s="191"/>
      <c r="W103" s="191"/>
      <c r="X103" s="187"/>
      <c r="Y103" s="187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7" customHeight="1" x14ac:dyDescent="0.2">
      <c r="A104" s="10" t="s">
        <v>216</v>
      </c>
      <c r="B104" s="86" t="s">
        <v>79</v>
      </c>
      <c r="C104" s="98"/>
      <c r="D104" s="99"/>
      <c r="E104" s="73"/>
      <c r="F104" s="73">
        <v>4.7E-2</v>
      </c>
      <c r="G104" s="73">
        <v>0.03</v>
      </c>
      <c r="H104" s="97">
        <v>7.4999999999999997E-2</v>
      </c>
      <c r="I104" s="89">
        <v>0.01</v>
      </c>
      <c r="J104" s="89">
        <v>0.23</v>
      </c>
      <c r="K104" s="107"/>
      <c r="L104" s="107"/>
      <c r="M104" s="107"/>
      <c r="N104" s="107"/>
      <c r="O104" s="107"/>
      <c r="P104" s="107">
        <v>6.4999999999999997E-3</v>
      </c>
      <c r="Q104" s="107"/>
      <c r="R104" s="107"/>
      <c r="S104" s="107"/>
      <c r="T104" s="107"/>
      <c r="U104" s="172">
        <v>0.08</v>
      </c>
      <c r="V104" s="107"/>
      <c r="W104" s="107"/>
      <c r="X104" s="107"/>
      <c r="Y104" s="107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7" customHeight="1" x14ac:dyDescent="0.2">
      <c r="A105" s="44" t="s">
        <v>73</v>
      </c>
      <c r="B105" s="34">
        <f>D105/210</f>
        <v>1.7160771433483957</v>
      </c>
      <c r="C105" s="90" t="s">
        <v>74</v>
      </c>
      <c r="D105" s="31">
        <f>SUM(E105:T105)</f>
        <v>360.37620010316311</v>
      </c>
      <c r="E105" s="31">
        <v>0</v>
      </c>
      <c r="F105" s="31">
        <f>1000*F104*F$6</f>
        <v>151.87313432835822</v>
      </c>
      <c r="G105" s="31">
        <f>1000*G104*G$6</f>
        <v>57</v>
      </c>
      <c r="H105" s="31">
        <f>1000*H104*H$6</f>
        <v>29.25</v>
      </c>
      <c r="I105" s="31">
        <f>1000*I104*I$6</f>
        <v>4.304347826086957</v>
      </c>
      <c r="J105" s="31">
        <f>1000*J104*J$6</f>
        <v>117.94871794871794</v>
      </c>
      <c r="K105" s="192"/>
      <c r="L105" s="14"/>
      <c r="M105" s="187"/>
      <c r="N105" s="191"/>
      <c r="O105" s="187"/>
      <c r="P105" s="148"/>
      <c r="Q105" s="187"/>
      <c r="R105" s="191"/>
      <c r="S105" s="187"/>
      <c r="T105" s="193"/>
      <c r="U105" s="140">
        <f>1000*U104*U$6</f>
        <v>0</v>
      </c>
      <c r="V105" s="194"/>
      <c r="W105" s="191"/>
      <c r="X105" s="187"/>
      <c r="Y105" s="191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7" customHeight="1" x14ac:dyDescent="0.2">
      <c r="A106" s="10" t="s">
        <v>217</v>
      </c>
      <c r="B106" s="86" t="s">
        <v>79</v>
      </c>
      <c r="C106" s="98"/>
      <c r="D106" s="73"/>
      <c r="E106" s="73"/>
      <c r="F106" s="73">
        <v>4.0000000000000001E-3</v>
      </c>
      <c r="G106" s="73">
        <v>1.5E-3</v>
      </c>
      <c r="H106" s="73">
        <v>3.0000000000000001E-5</v>
      </c>
      <c r="I106" s="73">
        <v>3.4000000000000002E-2</v>
      </c>
      <c r="J106" s="116"/>
      <c r="K106" s="195">
        <v>0.13500000000000001</v>
      </c>
      <c r="L106" s="10" t="s">
        <v>218</v>
      </c>
      <c r="M106" s="195"/>
      <c r="N106" s="195">
        <v>5.0000000000000004E-6</v>
      </c>
      <c r="O106" s="107"/>
      <c r="P106" s="107">
        <v>1.2999999999999999E-2</v>
      </c>
      <c r="Q106" s="107"/>
      <c r="R106" s="107"/>
      <c r="S106" s="107"/>
      <c r="T106" s="107"/>
      <c r="U106" s="181"/>
      <c r="V106" s="107"/>
      <c r="W106" s="107"/>
      <c r="X106" s="107"/>
      <c r="Y106" s="107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7" customHeight="1" x14ac:dyDescent="0.2">
      <c r="A107" s="80"/>
      <c r="B107" s="34">
        <f>D107/210</f>
        <v>0.78797113845884459</v>
      </c>
      <c r="C107" s="90" t="s">
        <v>74</v>
      </c>
      <c r="D107" s="31">
        <f>SUM(E107:T107)</f>
        <v>165.47393907635737</v>
      </c>
      <c r="E107" s="31">
        <v>0</v>
      </c>
      <c r="F107" s="31">
        <f>1000*F106*F$6</f>
        <v>12.925373134328359</v>
      </c>
      <c r="G107" s="31">
        <f>1000*G106*G$6</f>
        <v>2.8499999999999996</v>
      </c>
      <c r="H107" s="31">
        <f>1000*H106*H$6</f>
        <v>1.1700000000000002E-2</v>
      </c>
      <c r="I107" s="31">
        <f>1000*I106*I$6</f>
        <v>14.634782608695653</v>
      </c>
      <c r="J107" s="30"/>
      <c r="K107" s="140">
        <f>1000*K106</f>
        <v>135</v>
      </c>
      <c r="L107" s="139"/>
      <c r="M107" s="140">
        <f>1000*M106*M$6</f>
        <v>0</v>
      </c>
      <c r="N107" s="140">
        <f>1000*N106*N$6</f>
        <v>5.2083333333333329E-2</v>
      </c>
      <c r="O107" s="192"/>
      <c r="P107" s="148"/>
      <c r="Q107" s="196"/>
      <c r="R107" s="171"/>
      <c r="S107" s="170"/>
      <c r="T107" s="171"/>
      <c r="U107" s="170"/>
      <c r="V107" s="10" t="s">
        <v>219</v>
      </c>
      <c r="W107" s="197"/>
      <c r="X107" s="170"/>
      <c r="Y107" s="119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7" customHeight="1" x14ac:dyDescent="0.2">
      <c r="A108" s="48" t="s">
        <v>220</v>
      </c>
      <c r="B108" s="104" t="s">
        <v>79</v>
      </c>
      <c r="C108" s="49" t="s">
        <v>74</v>
      </c>
      <c r="D108" s="198">
        <f>7.04*1000</f>
        <v>7040</v>
      </c>
      <c r="E108" s="60"/>
      <c r="F108" s="199"/>
      <c r="G108" s="199"/>
      <c r="H108" s="116">
        <v>3.0000000000000001E-5</v>
      </c>
      <c r="I108" s="200"/>
      <c r="J108" s="201"/>
      <c r="K108" s="202"/>
      <c r="L108" s="132">
        <f>2000/1000000</f>
        <v>2E-3</v>
      </c>
      <c r="M108" s="202">
        <f>1000/1000000</f>
        <v>1E-3</v>
      </c>
      <c r="N108" s="202">
        <f>4000/1000000</f>
        <v>4.0000000000000001E-3</v>
      </c>
      <c r="O108" s="132"/>
      <c r="P108" s="132"/>
      <c r="Q108" s="132"/>
      <c r="R108" s="201">
        <f>6676/1000000</f>
        <v>6.6759999999999996E-3</v>
      </c>
      <c r="S108" s="132"/>
      <c r="T108" s="203">
        <f>500/1000000</f>
        <v>5.0000000000000001E-4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7" customHeight="1" x14ac:dyDescent="0.2">
      <c r="A109" s="5"/>
      <c r="B109" s="142" t="s">
        <v>79</v>
      </c>
      <c r="C109" s="98"/>
      <c r="D109" s="38"/>
      <c r="E109" s="204">
        <v>0.06</v>
      </c>
      <c r="F109" s="102">
        <v>0</v>
      </c>
      <c r="G109" s="102">
        <v>0.01</v>
      </c>
      <c r="H109" s="10" t="s">
        <v>221</v>
      </c>
      <c r="I109" s="185"/>
      <c r="J109" s="38"/>
      <c r="K109" s="14"/>
      <c r="L109" s="6"/>
      <c r="M109" s="14"/>
      <c r="N109" s="14"/>
      <c r="O109" s="14"/>
      <c r="P109" s="187"/>
      <c r="Q109" s="187"/>
      <c r="R109" s="185"/>
      <c r="S109" s="187"/>
      <c r="T109" s="187"/>
      <c r="U109" s="187"/>
      <c r="V109" s="187"/>
      <c r="W109" s="187"/>
      <c r="X109" s="187"/>
      <c r="Y109" s="187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7" customHeight="1" x14ac:dyDescent="0.2">
      <c r="A110" s="44" t="s">
        <v>222</v>
      </c>
      <c r="B110" s="205">
        <f>D110/1000</f>
        <v>0.76700000000000002</v>
      </c>
      <c r="C110" s="206" t="s">
        <v>74</v>
      </c>
      <c r="D110" s="110">
        <v>767</v>
      </c>
      <c r="E110" s="6"/>
      <c r="F110" s="89">
        <v>0.1</v>
      </c>
      <c r="G110" s="89">
        <v>5.0000000000000001E-4</v>
      </c>
      <c r="H110" s="6"/>
      <c r="I110" s="89">
        <v>5.0000000000000001E-4</v>
      </c>
      <c r="J110" s="89">
        <v>0.26</v>
      </c>
      <c r="K110" s="14"/>
      <c r="L110" s="6"/>
      <c r="M110" s="14"/>
      <c r="N110" s="14"/>
      <c r="O110" s="14"/>
      <c r="P110" s="187"/>
      <c r="Q110" s="187"/>
      <c r="R110" s="64">
        <v>8.0000000000000004E-4</v>
      </c>
      <c r="S110" s="187"/>
      <c r="T110" s="187"/>
      <c r="U110" s="187"/>
      <c r="V110" s="187"/>
      <c r="W110" s="187"/>
      <c r="X110" s="187"/>
      <c r="Y110" s="187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7" customHeight="1" x14ac:dyDescent="0.2">
      <c r="A111" s="44" t="s">
        <v>223</v>
      </c>
      <c r="B111" s="205">
        <f>D111/1000</f>
        <v>0.46266991611988362</v>
      </c>
      <c r="C111" s="29"/>
      <c r="D111" s="31">
        <f>SUM(E111:T111)</f>
        <v>462.66991611988362</v>
      </c>
      <c r="E111" s="186"/>
      <c r="F111" s="31">
        <f>1000*F110*F$6</f>
        <v>323.13432835820896</v>
      </c>
      <c r="G111" s="31">
        <f>1000*G110*G$6</f>
        <v>0.95</v>
      </c>
      <c r="H111" s="186"/>
      <c r="I111" s="31">
        <f>1000*I110*I$6</f>
        <v>0.21521739130434783</v>
      </c>
      <c r="J111" s="31">
        <f>1000*J110*J$6</f>
        <v>133.33333333333331</v>
      </c>
      <c r="K111" s="68"/>
      <c r="L111" s="14"/>
      <c r="M111" s="14"/>
      <c r="N111" s="14"/>
      <c r="O111" s="14"/>
      <c r="P111" s="187"/>
      <c r="Q111" s="207"/>
      <c r="R111" s="31">
        <f>1000*R110*R$6</f>
        <v>5.0370370370370381</v>
      </c>
      <c r="S111" s="208"/>
      <c r="T111" s="187"/>
      <c r="U111" s="187"/>
      <c r="V111" s="187"/>
      <c r="W111" s="187"/>
      <c r="X111" s="187"/>
      <c r="Y111" s="187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7" customHeight="1" x14ac:dyDescent="0.2">
      <c r="A112" s="44" t="s">
        <v>224</v>
      </c>
      <c r="B112" s="209"/>
      <c r="C112" s="29"/>
      <c r="D112" s="210"/>
      <c r="E112" s="211"/>
      <c r="F112" s="31"/>
      <c r="G112" s="212"/>
      <c r="H112" s="185"/>
      <c r="I112" s="213"/>
      <c r="J112" s="81"/>
      <c r="K112" s="14"/>
      <c r="L112" s="14"/>
      <c r="M112" s="14"/>
      <c r="N112" s="14"/>
      <c r="O112" s="14"/>
      <c r="P112" s="187"/>
      <c r="Q112" s="187"/>
      <c r="R112" s="214"/>
      <c r="S112" s="187"/>
      <c r="T112" s="187"/>
      <c r="U112" s="187"/>
      <c r="V112" s="187"/>
      <c r="W112" s="187"/>
      <c r="X112" s="187"/>
      <c r="Y112" s="187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7" customHeight="1" x14ac:dyDescent="0.2">
      <c r="A113" s="44" t="s">
        <v>73</v>
      </c>
      <c r="B113" s="205"/>
      <c r="C113" s="29"/>
      <c r="D113" s="31">
        <f>SUM(E113:T113)</f>
        <v>0</v>
      </c>
      <c r="E113" s="186"/>
      <c r="F113" s="31">
        <f>1000*F112*F$6</f>
        <v>0</v>
      </c>
      <c r="G113" s="88"/>
      <c r="H113" s="185"/>
      <c r="I113" s="185"/>
      <c r="J113" s="38"/>
      <c r="K113" s="14"/>
      <c r="L113" s="14"/>
      <c r="M113" s="14"/>
      <c r="N113" s="14"/>
      <c r="O113" s="14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7" customHeight="1" x14ac:dyDescent="0.2">
      <c r="A114" s="80"/>
      <c r="B114" s="205"/>
      <c r="C114" s="29"/>
      <c r="D114" s="31"/>
      <c r="E114" s="186"/>
      <c r="F114" s="31"/>
      <c r="G114" s="88"/>
      <c r="H114" s="185"/>
      <c r="I114" s="185"/>
      <c r="J114" s="38"/>
      <c r="K114" s="14"/>
      <c r="L114" s="14"/>
      <c r="M114" s="14"/>
      <c r="N114" s="14"/>
      <c r="O114" s="14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7" customHeight="1" x14ac:dyDescent="0.2">
      <c r="A115" s="9" t="s">
        <v>225</v>
      </c>
      <c r="B115" s="162" t="s">
        <v>79</v>
      </c>
      <c r="C115" s="198">
        <v>10</v>
      </c>
      <c r="D115" s="115">
        <v>400</v>
      </c>
      <c r="E115" s="64">
        <v>5.9999999999999995E-4</v>
      </c>
      <c r="F115" s="78">
        <v>0.1027</v>
      </c>
      <c r="G115" s="64">
        <v>5.0000000000000001E-4</v>
      </c>
      <c r="H115" s="64">
        <v>5.9999999999999995E-4</v>
      </c>
      <c r="I115" s="64">
        <v>6.4000000000000003E-3</v>
      </c>
      <c r="J115" s="64">
        <v>0.26169999999999999</v>
      </c>
      <c r="K115" s="215"/>
      <c r="L115" s="64">
        <v>0</v>
      </c>
      <c r="M115" s="215"/>
      <c r="N115" s="64">
        <v>0</v>
      </c>
      <c r="O115" s="215"/>
      <c r="P115" s="64">
        <v>0</v>
      </c>
      <c r="Q115" s="215"/>
      <c r="R115" s="64">
        <v>8.0000000000000004E-4</v>
      </c>
      <c r="S115" s="64">
        <v>0</v>
      </c>
      <c r="T115" s="215"/>
      <c r="U115" s="215">
        <v>1.76</v>
      </c>
      <c r="V115" s="38"/>
      <c r="W115" s="38"/>
      <c r="X115" s="38"/>
      <c r="Y115" s="38"/>
      <c r="Z115" s="38"/>
      <c r="AA115" s="38"/>
      <c r="AB115" s="38"/>
      <c r="AC115" s="5"/>
      <c r="AD115" s="5"/>
      <c r="AE115" s="5"/>
      <c r="AF115" s="5"/>
      <c r="AG115" s="5"/>
      <c r="AH115" s="5"/>
      <c r="AI115" s="5"/>
    </row>
    <row r="116" spans="1:35" ht="17" customHeight="1" x14ac:dyDescent="0.2">
      <c r="A116" s="9" t="s">
        <v>226</v>
      </c>
      <c r="B116" s="26" t="s">
        <v>66</v>
      </c>
      <c r="C116" s="126"/>
      <c r="D116" s="31">
        <f>SUM(E116:T116)</f>
        <v>476.07685959648063</v>
      </c>
      <c r="E116" s="31">
        <f t="shared" ref="E116:U116" si="6">1000*E115*E$6</f>
        <v>1.0369565217391303</v>
      </c>
      <c r="F116" s="31">
        <f t="shared" si="6"/>
        <v>331.85895522388063</v>
      </c>
      <c r="G116" s="31">
        <f t="shared" si="6"/>
        <v>0.95</v>
      </c>
      <c r="H116" s="31">
        <f t="shared" si="6"/>
        <v>0.23399999999999999</v>
      </c>
      <c r="I116" s="31">
        <f t="shared" si="6"/>
        <v>2.7547826086956526</v>
      </c>
      <c r="J116" s="31">
        <f t="shared" si="6"/>
        <v>134.20512820512818</v>
      </c>
      <c r="K116" s="31">
        <f t="shared" si="6"/>
        <v>0</v>
      </c>
      <c r="L116" s="31">
        <f t="shared" si="6"/>
        <v>0</v>
      </c>
      <c r="M116" s="31">
        <f t="shared" si="6"/>
        <v>0</v>
      </c>
      <c r="N116" s="31">
        <f t="shared" si="6"/>
        <v>0</v>
      </c>
      <c r="O116" s="31">
        <f t="shared" si="6"/>
        <v>0</v>
      </c>
      <c r="P116" s="31">
        <f t="shared" si="6"/>
        <v>0</v>
      </c>
      <c r="Q116" s="31">
        <f t="shared" si="6"/>
        <v>0</v>
      </c>
      <c r="R116" s="31">
        <f t="shared" si="6"/>
        <v>5.0370370370370381</v>
      </c>
      <c r="S116" s="31">
        <f t="shared" si="6"/>
        <v>0</v>
      </c>
      <c r="T116" s="31">
        <f t="shared" si="6"/>
        <v>0</v>
      </c>
      <c r="U116" s="31">
        <f t="shared" si="6"/>
        <v>0</v>
      </c>
      <c r="V116" s="51"/>
      <c r="W116" s="38"/>
      <c r="X116" s="38"/>
      <c r="Y116" s="38"/>
      <c r="Z116" s="38"/>
      <c r="AA116" s="38"/>
      <c r="AB116" s="38"/>
      <c r="AC116" s="5"/>
      <c r="AD116" s="5"/>
      <c r="AE116" s="5"/>
      <c r="AF116" s="5"/>
      <c r="AG116" s="5"/>
      <c r="AH116" s="5"/>
      <c r="AI116" s="5"/>
    </row>
    <row r="117" spans="1:35" ht="17" customHeight="1" x14ac:dyDescent="0.2">
      <c r="A117" s="156"/>
      <c r="B117" s="209"/>
      <c r="C117" s="29"/>
      <c r="D117" s="31"/>
      <c r="E117" s="216"/>
      <c r="F117" s="31"/>
      <c r="G117" s="212"/>
      <c r="H117" s="213"/>
      <c r="I117" s="213"/>
      <c r="J117" s="81"/>
      <c r="K117" s="84"/>
      <c r="L117" s="84"/>
      <c r="M117" s="84"/>
      <c r="N117" s="84"/>
      <c r="O117" s="84"/>
      <c r="P117" s="214"/>
      <c r="Q117" s="214"/>
      <c r="R117" s="214"/>
      <c r="S117" s="214"/>
      <c r="T117" s="214"/>
      <c r="U117" s="214"/>
      <c r="V117" s="187"/>
      <c r="W117" s="187"/>
      <c r="X117" s="187"/>
      <c r="Y117" s="187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7" customHeight="1" x14ac:dyDescent="0.2">
      <c r="A118" s="223" t="s">
        <v>227</v>
      </c>
      <c r="B118" s="217"/>
      <c r="C118" s="29"/>
      <c r="D118" s="31"/>
      <c r="E118" s="186"/>
      <c r="F118" s="31"/>
      <c r="G118" s="88"/>
      <c r="H118" s="185"/>
      <c r="I118" s="185"/>
      <c r="J118" s="38"/>
      <c r="K118" s="14"/>
      <c r="L118" s="14"/>
      <c r="M118" s="14"/>
      <c r="N118" s="14"/>
      <c r="O118" s="14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7" customHeight="1" x14ac:dyDescent="0.2">
      <c r="A119" s="223" t="s">
        <v>228</v>
      </c>
      <c r="B119" s="5"/>
      <c r="C119" s="43"/>
      <c r="D119" s="43"/>
      <c r="E119" s="5"/>
      <c r="F119" s="4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7" customHeight="1" x14ac:dyDescent="0.2">
      <c r="A120" s="224" t="s">
        <v>229</v>
      </c>
      <c r="B120" s="225" t="s">
        <v>229</v>
      </c>
      <c r="C120" s="5"/>
      <c r="D120" s="5"/>
      <c r="E120" s="12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7" customHeight="1" x14ac:dyDescent="0.2">
      <c r="A121" s="5"/>
      <c r="B121" s="5"/>
      <c r="C121" s="5"/>
      <c r="D121" s="5"/>
      <c r="E121" s="12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7" customHeight="1" x14ac:dyDescent="0.2">
      <c r="A122" s="5"/>
      <c r="B122" s="5"/>
      <c r="C122" s="5"/>
      <c r="D122" s="5"/>
      <c r="E122" s="12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7" customHeight="1" x14ac:dyDescent="0.2">
      <c r="A123" s="223" t="s">
        <v>230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7" customHeight="1" x14ac:dyDescent="0.2">
      <c r="A124" s="223" t="s">
        <v>231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7" customHeight="1" x14ac:dyDescent="0.2">
      <c r="A125" s="223" t="s">
        <v>232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7" customHeight="1" x14ac:dyDescent="0.2">
      <c r="A126" s="223" t="s">
        <v>233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7" customHeight="1" x14ac:dyDescent="0.2">
      <c r="A127" s="224" t="s">
        <v>234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8.5" customHeight="1" x14ac:dyDescent="0.2">
      <c r="A128" s="164" t="s">
        <v>180</v>
      </c>
      <c r="B128" s="5"/>
      <c r="C128" s="5"/>
      <c r="D128" s="26" t="s">
        <v>235</v>
      </c>
      <c r="E128" s="150" t="s">
        <v>44</v>
      </c>
      <c r="F128" s="150" t="s">
        <v>45</v>
      </c>
      <c r="G128" s="150" t="s">
        <v>46</v>
      </c>
      <c r="H128" s="150" t="s">
        <v>47</v>
      </c>
      <c r="I128" s="150" t="s">
        <v>181</v>
      </c>
      <c r="J128" s="150" t="s">
        <v>182</v>
      </c>
      <c r="K128" s="218"/>
      <c r="L128" s="150" t="s">
        <v>57</v>
      </c>
      <c r="M128" s="150" t="s">
        <v>174</v>
      </c>
      <c r="N128" s="150" t="s">
        <v>55</v>
      </c>
      <c r="O128" s="150" t="s">
        <v>184</v>
      </c>
      <c r="P128" s="150" t="s">
        <v>33</v>
      </c>
      <c r="Q128" s="152"/>
      <c r="R128" s="150" t="s">
        <v>51</v>
      </c>
      <c r="S128" s="150" t="s">
        <v>52</v>
      </c>
      <c r="T128" s="150" t="s">
        <v>50</v>
      </c>
      <c r="U128" s="150" t="s">
        <v>56</v>
      </c>
      <c r="V128" s="150" t="s">
        <v>185</v>
      </c>
      <c r="W128" s="150" t="s">
        <v>186</v>
      </c>
      <c r="X128" s="150" t="s">
        <v>54</v>
      </c>
      <c r="Y128" s="150" t="s">
        <v>160</v>
      </c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</row>
    <row r="129" spans="1:35" ht="18.5" customHeight="1" x14ac:dyDescent="0.2">
      <c r="A129" s="164" t="s">
        <v>194</v>
      </c>
      <c r="B129" s="5"/>
      <c r="C129" s="156"/>
      <c r="D129" s="31">
        <v>1000</v>
      </c>
      <c r="E129" s="219">
        <v>0.03</v>
      </c>
      <c r="F129" s="220">
        <v>0.02</v>
      </c>
      <c r="G129" s="220">
        <v>0.04</v>
      </c>
      <c r="H129" s="220">
        <v>0.02</v>
      </c>
      <c r="I129" s="220">
        <v>0.03</v>
      </c>
      <c r="J129" s="220">
        <v>0.03</v>
      </c>
      <c r="K129" s="221"/>
      <c r="L129" s="221"/>
      <c r="M129" s="221"/>
      <c r="N129" s="221"/>
      <c r="O129" s="221"/>
      <c r="P129" s="221"/>
      <c r="Q129" s="222"/>
      <c r="R129" s="221">
        <v>1.5</v>
      </c>
      <c r="S129" s="221">
        <v>3</v>
      </c>
      <c r="T129" s="221">
        <v>2</v>
      </c>
      <c r="U129" s="221">
        <v>5</v>
      </c>
      <c r="V129" s="218">
        <v>1</v>
      </c>
      <c r="W129" s="218">
        <v>30</v>
      </c>
      <c r="X129" s="218">
        <v>40</v>
      </c>
      <c r="Y129" s="150" t="s">
        <v>160</v>
      </c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</row>
    <row r="130" spans="1:35" ht="17.5" customHeight="1" x14ac:dyDescent="0.2">
      <c r="A130" s="167"/>
      <c r="B130" s="5"/>
      <c r="C130" s="156"/>
      <c r="D130" s="31">
        <f>SUM(E130:T130)</f>
        <v>228.57235062147458</v>
      </c>
      <c r="E130" s="31">
        <f t="shared" ref="E130:Q130" si="7">1000*E129*E$6</f>
        <v>51.847826086956516</v>
      </c>
      <c r="F130" s="31">
        <f t="shared" si="7"/>
        <v>64.626865671641795</v>
      </c>
      <c r="G130" s="31">
        <f t="shared" si="7"/>
        <v>76</v>
      </c>
      <c r="H130" s="31">
        <f t="shared" si="7"/>
        <v>7.8000000000000007</v>
      </c>
      <c r="I130" s="31">
        <f t="shared" si="7"/>
        <v>12.913043478260869</v>
      </c>
      <c r="J130" s="31">
        <f t="shared" si="7"/>
        <v>15.384615384615383</v>
      </c>
      <c r="K130" s="31">
        <f t="shared" si="7"/>
        <v>0</v>
      </c>
      <c r="L130" s="31">
        <f t="shared" si="7"/>
        <v>0</v>
      </c>
      <c r="M130" s="31">
        <f t="shared" si="7"/>
        <v>0</v>
      </c>
      <c r="N130" s="31">
        <f t="shared" si="7"/>
        <v>0</v>
      </c>
      <c r="O130" s="31">
        <f t="shared" si="7"/>
        <v>0</v>
      </c>
      <c r="P130" s="31">
        <f t="shared" si="7"/>
        <v>0</v>
      </c>
      <c r="Q130" s="31">
        <f t="shared" si="7"/>
        <v>0</v>
      </c>
      <c r="R130" s="31"/>
      <c r="S130" s="31"/>
      <c r="T130" s="31"/>
      <c r="U130" s="31"/>
      <c r="V130" s="58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7.5" customHeight="1" x14ac:dyDescent="0.2">
      <c r="A131" s="167"/>
      <c r="B131" s="5"/>
      <c r="C131" s="5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7.5" customHeight="1" x14ac:dyDescent="0.2">
      <c r="A132" s="48" t="s">
        <v>236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7.5" customHeight="1" x14ac:dyDescent="0.2">
      <c r="A133" s="48" t="s">
        <v>237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7.5" customHeight="1" x14ac:dyDescent="0.2">
      <c r="A134" s="48" t="s">
        <v>238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7.5" customHeight="1" x14ac:dyDescent="0.2">
      <c r="A135" s="48" t="s">
        <v>239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7.5" customHeight="1" x14ac:dyDescent="0.2">
      <c r="A136" s="48" t="s">
        <v>240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7.5" customHeight="1" x14ac:dyDescent="0.2">
      <c r="A137" s="48" t="s">
        <v>241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7.5" customHeight="1" x14ac:dyDescent="0.2">
      <c r="A138" s="48" t="s">
        <v>242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7.5" customHeight="1" x14ac:dyDescent="0.2">
      <c r="A139" s="48" t="s">
        <v>243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7.5" customHeight="1" x14ac:dyDescent="0.2">
      <c r="A140" s="48" t="s">
        <v>244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7.5" customHeight="1" x14ac:dyDescent="0.2">
      <c r="A141" s="48" t="s">
        <v>245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7.5" customHeight="1" x14ac:dyDescent="0.2">
      <c r="A142" s="48" t="s">
        <v>246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7.5" customHeight="1" x14ac:dyDescent="0.2">
      <c r="A143" s="48" t="s">
        <v>247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7.5" customHeight="1" x14ac:dyDescent="0.2">
      <c r="A144" s="48" t="s">
        <v>248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</sheetData>
  <conditionalFormatting sqref="C115:D115 D128">
    <cfRule type="cellIs" dxfId="0" priority="1" stopIfTrue="1" operator="lessThan">
      <formula>0</formula>
    </cfRule>
  </conditionalFormatting>
  <pageMargins left="0.43" right="0.43" top="0.45" bottom="0.45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Fertiliser &amp; Effluent Values.xl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2017-02-24T22:40:07Z</dcterms:modified>
</cp:coreProperties>
</file>