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date1904="1"/>
  <mc:AlternateContent xmlns:mc="http://schemas.openxmlformats.org/markup-compatibility/2006">
    <mc:Choice Requires="x15">
      <x15ac:absPath xmlns:x15ac="http://schemas.microsoft.com/office/spreadsheetml/2010/11/ac" url="/Users/vaughanjones/Documents/Book/Excel Spreadsheets/"/>
    </mc:Choice>
  </mc:AlternateContent>
  <bookViews>
    <workbookView xWindow="920" yWindow="460" windowWidth="31080" windowHeight="17540" activeTab="1"/>
  </bookViews>
  <sheets>
    <sheet name="Export Summary" sheetId="1" r:id="rId1"/>
    <sheet name="Conversion Calculator.xls" sheetId="2" r:id="rId2"/>
  </sheets>
  <calcPr calcId="150001" iterateCount="0"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09" i="2" l="1"/>
  <c r="F109" i="2"/>
  <c r="D110" i="2"/>
  <c r="F110" i="2"/>
  <c r="D111" i="2"/>
  <c r="F111" i="2"/>
  <c r="D112" i="2"/>
  <c r="F112" i="2"/>
  <c r="D113" i="2"/>
  <c r="F113" i="2"/>
  <c r="G113" i="2"/>
  <c r="D104" i="2"/>
  <c r="F104" i="2"/>
  <c r="D105" i="2"/>
  <c r="F105" i="2"/>
  <c r="D106" i="2"/>
  <c r="F106" i="2"/>
  <c r="D107" i="2"/>
  <c r="F107" i="2"/>
  <c r="G107" i="2"/>
  <c r="D97" i="2"/>
  <c r="C97" i="2"/>
  <c r="E94" i="2"/>
  <c r="F94" i="2"/>
  <c r="F95" i="2"/>
  <c r="E95" i="2"/>
  <c r="G94" i="2"/>
  <c r="D94" i="2"/>
  <c r="C94" i="2"/>
  <c r="C90" i="2"/>
  <c r="C89" i="2"/>
  <c r="C87" i="2"/>
  <c r="E87" i="2"/>
  <c r="G87" i="2"/>
  <c r="C86" i="2"/>
  <c r="C85" i="2"/>
  <c r="E85" i="2"/>
  <c r="G85" i="2"/>
  <c r="C84" i="2"/>
  <c r="C83" i="2"/>
  <c r="C82" i="2"/>
  <c r="G81" i="2"/>
  <c r="C80" i="2"/>
  <c r="C79" i="2"/>
  <c r="E75" i="2"/>
  <c r="G75" i="2"/>
  <c r="I75" i="2"/>
  <c r="K75" i="2"/>
  <c r="C74" i="2"/>
  <c r="F74" i="2"/>
  <c r="J74" i="2"/>
  <c r="C73" i="2"/>
  <c r="F73" i="2"/>
  <c r="C70" i="2"/>
  <c r="E70" i="2"/>
  <c r="E69" i="2"/>
  <c r="C69" i="2"/>
  <c r="K67" i="2"/>
  <c r="I68" i="2"/>
  <c r="M68" i="2"/>
  <c r="E68" i="2"/>
  <c r="C68" i="2"/>
  <c r="E67" i="2"/>
  <c r="C67" i="2"/>
  <c r="C66" i="2"/>
  <c r="M65" i="2"/>
  <c r="C64" i="2"/>
  <c r="D63" i="2"/>
  <c r="G62" i="2"/>
  <c r="I62" i="2"/>
  <c r="C61" i="2"/>
  <c r="E61" i="2"/>
  <c r="G61" i="2"/>
  <c r="C60" i="2"/>
  <c r="E59" i="2"/>
  <c r="G59" i="2"/>
  <c r="I59" i="2"/>
  <c r="J58" i="2"/>
  <c r="E57" i="2"/>
  <c r="C57" i="2"/>
  <c r="H56" i="2"/>
  <c r="D56" i="2"/>
  <c r="C56" i="2"/>
  <c r="E55" i="2"/>
  <c r="C55" i="2"/>
  <c r="C54" i="2"/>
  <c r="E53" i="2"/>
  <c r="F53" i="2"/>
  <c r="H53" i="2"/>
  <c r="G53" i="2"/>
  <c r="C53" i="2"/>
  <c r="C52" i="2"/>
  <c r="C51" i="2"/>
  <c r="E51" i="2"/>
  <c r="C50" i="2"/>
  <c r="E50" i="2"/>
  <c r="G49" i="2"/>
  <c r="E49" i="2"/>
  <c r="C49" i="2"/>
  <c r="E48" i="2"/>
  <c r="C46" i="2"/>
  <c r="C47" i="2"/>
  <c r="C48" i="2"/>
  <c r="G47" i="2"/>
  <c r="E47" i="2"/>
  <c r="F45" i="2"/>
  <c r="C45" i="2"/>
  <c r="H44" i="2"/>
  <c r="E44" i="2"/>
  <c r="C43" i="2"/>
  <c r="C44" i="2"/>
  <c r="E43" i="2"/>
  <c r="C42" i="2"/>
  <c r="E42" i="2"/>
  <c r="C41" i="2"/>
  <c r="J40" i="2"/>
  <c r="C35" i="2"/>
  <c r="H38" i="2"/>
  <c r="C38" i="2"/>
  <c r="H37" i="2"/>
  <c r="C37" i="2"/>
  <c r="E37" i="2"/>
  <c r="E36" i="2"/>
  <c r="C36" i="2"/>
  <c r="I34" i="2"/>
  <c r="L35" i="2"/>
  <c r="I35" i="2"/>
  <c r="C34" i="2"/>
  <c r="C33" i="2"/>
  <c r="C32" i="2"/>
  <c r="G30" i="2"/>
  <c r="C29" i="2"/>
  <c r="G28" i="2"/>
  <c r="C28" i="2"/>
  <c r="E28" i="2"/>
  <c r="C27" i="2"/>
  <c r="G27" i="2"/>
  <c r="C24" i="2"/>
  <c r="E27" i="2"/>
  <c r="F26" i="2"/>
  <c r="C26" i="2"/>
  <c r="C25" i="2"/>
  <c r="E24" i="2"/>
  <c r="F23" i="2"/>
  <c r="C23" i="2"/>
  <c r="C22" i="2"/>
  <c r="F21" i="2"/>
  <c r="C21" i="2"/>
  <c r="C20" i="2"/>
  <c r="A14" i="2"/>
  <c r="A13" i="2"/>
  <c r="L13" i="2"/>
  <c r="K13" i="2"/>
  <c r="J13" i="2"/>
  <c r="I13" i="2"/>
  <c r="H13" i="2"/>
  <c r="G13" i="2"/>
  <c r="F13" i="2"/>
  <c r="E13" i="2"/>
  <c r="D13" i="2"/>
  <c r="C13" i="2"/>
  <c r="B13" i="2"/>
  <c r="A12" i="2"/>
  <c r="L12" i="2"/>
  <c r="K12" i="2"/>
  <c r="J12" i="2"/>
  <c r="I12" i="2"/>
  <c r="H12" i="2"/>
  <c r="G12" i="2"/>
  <c r="F12" i="2"/>
  <c r="E12" i="2"/>
  <c r="D12" i="2"/>
  <c r="C12" i="2"/>
  <c r="B12" i="2"/>
  <c r="A7" i="2"/>
  <c r="L7" i="2"/>
  <c r="K7" i="2"/>
  <c r="J7" i="2"/>
  <c r="I7" i="2"/>
  <c r="H7" i="2"/>
  <c r="G7" i="2"/>
  <c r="F7" i="2"/>
  <c r="E7" i="2"/>
  <c r="D7" i="2"/>
  <c r="C7" i="2"/>
  <c r="B7" i="2"/>
  <c r="L6" i="2"/>
  <c r="K6" i="2"/>
  <c r="J6" i="2"/>
  <c r="I6" i="2"/>
  <c r="H6" i="2"/>
  <c r="G6" i="2"/>
  <c r="F6" i="2"/>
  <c r="E6" i="2"/>
  <c r="D6" i="2"/>
  <c r="C6" i="2"/>
  <c r="B6" i="2"/>
</calcChain>
</file>

<file path=xl/sharedStrings.xml><?xml version="1.0" encoding="utf-8"?>
<sst xmlns="http://schemas.openxmlformats.org/spreadsheetml/2006/main" count="467" uniqueCount="396">
  <si>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</si>
  <si>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</si>
  <si>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</si>
  <si>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</si>
  <si>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Conversion Calculator.xls</t>
  </si>
  <si>
    <t>Table 1</t>
  </si>
  <si>
    <t>Conversions, Exchange rates, World times</t>
  </si>
  <si>
    <t xml:space="preserve">Tonne, 1000 kg, is metric. Ton, 2,000 lb, is USA.  </t>
  </si>
  <si>
    <t>Instructions</t>
  </si>
  <si>
    <t>Read each row.</t>
  </si>
  <si>
    <t>E &amp; OE</t>
  </si>
  <si>
    <t>For current exchange rates click &gt;</t>
  </si>
  <si>
    <r>
      <rPr>
        <u/>
        <sz val="16"/>
        <color indexed="15"/>
        <rFont val="Times New Roman"/>
      </rPr>
      <t>www.x-rates.com/calculator.html</t>
    </r>
  </si>
  <si>
    <t>http://www.x-rates.com/table/?from=NZD&amp;amount=1.00</t>
  </si>
  <si>
    <t>Instructions are in red. Enter your figures in the yellow cells. Don’t type over blue cells, they contain formulae.</t>
  </si>
  <si>
    <t>What is your Broadband speed? This measures it quickly &gt;</t>
  </si>
  <si>
    <t>http://speedtest.worldnet.co.nz</t>
  </si>
  <si>
    <t xml:space="preserve"> Normal or Winter Time in New Zealand</t>
  </si>
  <si>
    <t>Add more by copying formula to the right and entering the hours behind New Zealand.</t>
  </si>
  <si>
    <t>New Zealand =NOW( )</t>
  </si>
  <si>
    <t>Japan</t>
  </si>
  <si>
    <t>Austr West</t>
  </si>
  <si>
    <t>India</t>
  </si>
  <si>
    <t>South Africa</t>
  </si>
  <si>
    <t>Switzerland</t>
  </si>
  <si>
    <t>UK</t>
  </si>
  <si>
    <t>Toronto, Paraguay</t>
  </si>
  <si>
    <t>Central USA=Texas</t>
  </si>
  <si>
    <t>US Mountain</t>
  </si>
  <si>
    <t>US West</t>
  </si>
  <si>
    <t>Hawaii</t>
  </si>
  <si>
    <t>Hours behind NZ</t>
  </si>
  <si>
    <t>Formula &gt;</t>
  </si>
  <si>
    <t xml:space="preserve">Subtract the hours behind and divide by 24. </t>
  </si>
  <si>
    <t xml:space="preserve"> Daylight Saving or Summer Time in New Zealand </t>
  </si>
  <si>
    <t>US East, Toronto. S America</t>
  </si>
  <si>
    <t>Central -Texas</t>
  </si>
  <si>
    <t>GST</t>
  </si>
  <si>
    <t xml:space="preserve">Deduct by dividing by </t>
  </si>
  <si>
    <t>Metric and Imperial Conversions</t>
  </si>
  <si>
    <t>Metre is a distance measurement. Meter is a measuring gauge. Examples:  millimetre, speedometer, thermometer.</t>
  </si>
  <si>
    <t>Millimetres, centimetres, decimetres, metres.</t>
  </si>
  <si>
    <t>1 part per million is 1 gram per tonne</t>
  </si>
  <si>
    <t>One ha =</t>
  </si>
  <si>
    <t>acres</t>
  </si>
  <si>
    <t>mm/inch&gt;</t>
  </si>
  <si>
    <t>Enter yours below</t>
  </si>
  <si>
    <t>Length</t>
  </si>
  <si>
    <t>Answer</t>
  </si>
  <si>
    <t>Enter # below</t>
  </si>
  <si>
    <t>Metric</t>
  </si>
  <si>
    <t>inches =</t>
  </si>
  <si>
    <t>cm</t>
  </si>
  <si>
    <t>m width cut=</t>
  </si>
  <si>
    <t>km/hour/ha</t>
  </si>
  <si>
    <t>10 millimetres (mm)=1 centimetre (cm)</t>
  </si>
  <si>
    <t>1,000 milligrams (mg) = 1 gram (g) = 1 ml pure water</t>
  </si>
  <si>
    <t>mm =</t>
  </si>
  <si>
    <t>inches</t>
  </si>
  <si>
    <t>10 cm = 1 decimetre (dm)</t>
  </si>
  <si>
    <t>1,000 g = 1 kilogram (kg) = 1 litre of pure water</t>
  </si>
  <si>
    <t>millimetre (mm) =</t>
  </si>
  <si>
    <t>mph =</t>
  </si>
  <si>
    <t>km/h</t>
  </si>
  <si>
    <t>10 dm = 1 metre (m)</t>
  </si>
  <si>
    <t>1,000 kg = 1 metric tonne = 2,200 lb</t>
  </si>
  <si>
    <t>metres =</t>
  </si>
  <si>
    <t>yards</t>
  </si>
  <si>
    <t xml:space="preserve">1,000 mm = 1 metre (m). 1,000 mg = 1 gram. </t>
  </si>
  <si>
    <t>feet</t>
  </si>
  <si>
    <t>m</t>
  </si>
  <si>
    <t>mm</t>
  </si>
  <si>
    <t>microns</t>
  </si>
  <si>
    <t>1 million square millimetres = 1 square metre</t>
  </si>
  <si>
    <t>miles =</t>
  </si>
  <si>
    <t>kilometres</t>
  </si>
  <si>
    <t>km/h =</t>
  </si>
  <si>
    <t>mph</t>
  </si>
  <si>
    <t>10,000 square m  (100 by 100 m) = 1 hectare (ha)</t>
  </si>
  <si>
    <t>kilometres (km) =</t>
  </si>
  <si>
    <t>miles</t>
  </si>
  <si>
    <t>mm, cm, dm, metre</t>
  </si>
  <si>
    <t>mg, cg, dg, gram</t>
  </si>
  <si>
    <t>1,000 m = 1 kilometre (km)</t>
  </si>
  <si>
    <t>Links =</t>
  </si>
  <si>
    <t>metres</t>
  </si>
  <si>
    <t>1 km by 1 km = 100 ha = 1 square km (km2)</t>
  </si>
  <si>
    <t>feet =</t>
  </si>
  <si>
    <t>cm =</t>
  </si>
  <si>
    <t>metre =</t>
  </si>
  <si>
    <t>centimetres =</t>
  </si>
  <si>
    <t>decimetres</t>
  </si>
  <si>
    <t>Area</t>
  </si>
  <si>
    <t>hectare =</t>
  </si>
  <si>
    <t>m2 (square metre)</t>
  </si>
  <si>
    <t>acres =</t>
  </si>
  <si>
    <t>hectares</t>
  </si>
  <si>
    <t>1 ha = 100 x 100 = 10,000m2</t>
  </si>
  <si>
    <t>Circles</t>
  </si>
  <si>
    <t>hectares (ha) =</t>
  </si>
  <si>
    <t>1 acre = 4,000 m2 (63.2 x 63.2 m)</t>
  </si>
  <si>
    <t>Circumference = diameter x Pi</t>
  </si>
  <si>
    <t>sq ft =</t>
  </si>
  <si>
    <t>sq metres</t>
  </si>
  <si>
    <t>1 acre = 4840 sq yds (70 x70 yds)</t>
  </si>
  <si>
    <t>Area = Pi x r2</t>
  </si>
  <si>
    <t xml:space="preserve"> = Area</t>
  </si>
  <si>
    <t>sq metres(m2)=</t>
  </si>
  <si>
    <t>sq ft</t>
  </si>
  <si>
    <t>Radius = area ÷ Pi square rooted</t>
  </si>
  <si>
    <t>ha</t>
  </si>
  <si>
    <t>Pi = 22 ÷ 7 =</t>
  </si>
  <si>
    <t>$/m2</t>
  </si>
  <si>
    <t>$/sq ft</t>
  </si>
  <si>
    <t>= $/m2</t>
  </si>
  <si>
    <t>micron (1 millionth of a metre)</t>
  </si>
  <si>
    <t>ug</t>
  </si>
  <si>
    <t>Formats &gt;</t>
  </si>
  <si>
    <t>&lt; Formats</t>
  </si>
  <si>
    <t>Weight</t>
  </si>
  <si>
    <t>One level teaspoon of most solids is 3 (flour) to 4 (sugar) grams.</t>
  </si>
  <si>
    <t>tonnes per hectare =</t>
  </si>
  <si>
    <t>tons per acre</t>
  </si>
  <si>
    <t>1 metric ton per hectare = 892 pounds per acre</t>
  </si>
  <si>
    <t>kg/ha =</t>
  </si>
  <si>
    <t>lbs/acre</t>
  </si>
  <si>
    <t>US tons/acre</t>
  </si>
  <si>
    <t>grams/m2 (0.33*0.33)</t>
  </si>
  <si>
    <t>level teaspoons/m2 1m*1m</t>
  </si>
  <si>
    <t>CalciMag</t>
  </si>
  <si>
    <t>pounds =</t>
  </si>
  <si>
    <t>kilograms</t>
  </si>
  <si>
    <t xml:space="preserve"> t/acre</t>
  </si>
  <si>
    <t>Ounces</t>
  </si>
  <si>
    <t>kilograms =</t>
  </si>
  <si>
    <t>pounds</t>
  </si>
  <si>
    <t xml:space="preserve">1,000 mg = 1 gram. 1,000 grams = 1 kg. </t>
  </si>
  <si>
    <t>1,000 kg = 1 tonne</t>
  </si>
  <si>
    <t>ounces =</t>
  </si>
  <si>
    <t>grams</t>
  </si>
  <si>
    <t>16 oz/lb</t>
  </si>
  <si>
    <t>litres</t>
  </si>
  <si>
    <t>grams =</t>
  </si>
  <si>
    <t>ounces</t>
  </si>
  <si>
    <t>level teaspoons</t>
  </si>
  <si>
    <t>milligrams mg =</t>
  </si>
  <si>
    <t>Copy a cell from J below to where the format is needed &amp; type over it.</t>
  </si>
  <si>
    <t>tons per acre =</t>
  </si>
  <si>
    <t>tonnes/ha</t>
  </si>
  <si>
    <t>Imperial cwt/acre</t>
  </si>
  <si>
    <t xml:space="preserve">Doing this is faster than setting the format or style later. </t>
  </si>
  <si>
    <t>tonnes/ha =</t>
  </si>
  <si>
    <t>tons/acre</t>
  </si>
  <si>
    <t xml:space="preserve">1 ppm is one inch in 16 miles, </t>
  </si>
  <si>
    <t>lb/acre</t>
  </si>
  <si>
    <t>kg/ha</t>
  </si>
  <si>
    <t>US ton/acre =</t>
  </si>
  <si>
    <t>oz/acre =</t>
  </si>
  <si>
    <t>grams/ha</t>
  </si>
  <si>
    <t xml:space="preserve">g/100 g = </t>
  </si>
  <si>
    <t>0.001/0.1 kg =</t>
  </si>
  <si>
    <t>0.01/kg</t>
  </si>
  <si>
    <t>grams/ha =</t>
  </si>
  <si>
    <t>oz/acre</t>
  </si>
  <si>
    <t>level teaspoons/acre</t>
  </si>
  <si>
    <t>g/kg = 1/1,000</t>
  </si>
  <si>
    <t>grams/kg =</t>
  </si>
  <si>
    <t>ppm</t>
  </si>
  <si>
    <t>gram/tonne =</t>
  </si>
  <si>
    <t>mg/kg =</t>
  </si>
  <si>
    <t>=</t>
  </si>
  <si>
    <t>mg/kg = ppm</t>
  </si>
  <si>
    <t>grams/t = ppm</t>
  </si>
  <si>
    <t>teaspoon level =</t>
  </si>
  <si>
    <t xml:space="preserve">grams of water, 4 grams of sugar or 3 grams of flour. </t>
  </si>
  <si>
    <t>kg =</t>
  </si>
  <si>
    <t>mg</t>
  </si>
  <si>
    <t>cg</t>
  </si>
  <si>
    <t>dg</t>
  </si>
  <si>
    <t>lbs</t>
  </si>
  <si>
    <t>kilogram (kg) =</t>
  </si>
  <si>
    <t>pounds or lbs</t>
  </si>
  <si>
    <t>tons</t>
  </si>
  <si>
    <t xml:space="preserve">metric tonnes </t>
  </si>
  <si>
    <t>Volume</t>
  </si>
  <si>
    <t xml:space="preserve"> of cylinder is</t>
  </si>
  <si>
    <t>Pi (3.14159) r2 h</t>
  </si>
  <si>
    <t xml:space="preserve">1 US gallon = </t>
  </si>
  <si>
    <t>8.3 lb</t>
  </si>
  <si>
    <t>equals</t>
  </si>
  <si>
    <t>1,000 ppm = 0.1%</t>
  </si>
  <si>
    <t>The element Mercury has a density of (weighs) 13.5 grams/ml (13.5 grams/cm3).</t>
  </si>
  <si>
    <t>Per cow per day</t>
  </si>
  <si>
    <t>Imperial gallons =</t>
  </si>
  <si>
    <t>1,000 millilitres (ml) = 1 litre (l)</t>
  </si>
  <si>
    <t>Grams</t>
  </si>
  <si>
    <t>Cost</t>
  </si>
  <si>
    <t>pints =</t>
  </si>
  <si>
    <t>1 ml =</t>
  </si>
  <si>
    <t>0.0001 litre or</t>
  </si>
  <si>
    <t xml:space="preserve">Solminix </t>
  </si>
  <si>
    <t>cubic feet =</t>
  </si>
  <si>
    <t>cubic metres</t>
  </si>
  <si>
    <t>1 billion cubic millimetres = 1 cubic metre = 1 tonne of pure water</t>
  </si>
  <si>
    <t>VET Trace</t>
  </si>
  <si>
    <t>ml/l</t>
  </si>
  <si>
    <t>ml</t>
  </si>
  <si>
    <t>Drench</t>
  </si>
  <si>
    <t>cubic metres (m3) =</t>
  </si>
  <si>
    <t>cubic feet</t>
  </si>
  <si>
    <t>litres = kg of water.</t>
  </si>
  <si>
    <t xml:space="preserve"> kg = 1 tonne</t>
  </si>
  <si>
    <t>litres =</t>
  </si>
  <si>
    <t>Imperial gallons</t>
  </si>
  <si>
    <t>US gallons</t>
  </si>
  <si>
    <t>1 litre of water weighs 1 kg</t>
  </si>
  <si>
    <t>pints</t>
  </si>
  <si>
    <t>US pints</t>
  </si>
  <si>
    <t>US gallons =</t>
  </si>
  <si>
    <t>cubic metres (tonnes of clean water)</t>
  </si>
  <si>
    <t xml:space="preserve">g/kg is aproximately 1 per 1,000.  mg/kg is aproximately ppm = part per million. u is the symbol for 1 millionth. ppm is approximately ug/g (microgram/gram) or mg/kg (milligram/kilogram) or gram (0.2 of a teaspoon)/tonne or cubic metre of water. </t>
  </si>
  <si>
    <t>The ppm figure varies because it is not weight.  g/t = ppm. mg/t = ppb. mcg/mg = 1 per 1,000???  1 ug/kg  or /litre = 1 part per billion (ppb) or 1 mg/cubic metre or 1 mg1/tonne of water.</t>
  </si>
  <si>
    <t>Read more: http://wiki.answers.com/Q/How_much_does_mercury_weigh#ixzz16jmLsv2S</t>
  </si>
  <si>
    <t>kg milk solids =</t>
  </si>
  <si>
    <t>litres at 5%F 4%P</t>
  </si>
  <si>
    <t>Milk payout in NZ</t>
  </si>
  <si>
    <t>lb per kg MS</t>
  </si>
  <si>
    <t>US Exchange rate</t>
  </si>
  <si>
    <t>kg of  milk  =</t>
  </si>
  <si>
    <t>kg MS 5%F &amp; 4%P</t>
  </si>
  <si>
    <t xml:space="preserve">per kg MS in NZ at </t>
  </si>
  <si>
    <t>per NZ lb milk</t>
  </si>
  <si>
    <t>US milk price/100</t>
  </si>
  <si>
    <t>US per 100 lb =</t>
  </si>
  <si>
    <t>per lb</t>
  </si>
  <si>
    <t>per litre in US$</t>
  </si>
  <si>
    <t>NZ$ per litre</t>
  </si>
  <si>
    <t>NZ$ per kg MS</t>
  </si>
  <si>
    <t>mm (1 inch) rain/acre =</t>
  </si>
  <si>
    <t>100 tonnes/acre</t>
  </si>
  <si>
    <t>1 mm of rain = 10 tonnes per hectare.</t>
  </si>
  <si>
    <t>Energy</t>
  </si>
  <si>
    <t>hp =</t>
  </si>
  <si>
    <t>kw - kilowatt</t>
  </si>
  <si>
    <t>Calculating pasture % dry matter</t>
  </si>
  <si>
    <t>kw =</t>
  </si>
  <si>
    <t>hp</t>
  </si>
  <si>
    <t>Wet weight</t>
  </si>
  <si>
    <t>Dry weight</t>
  </si>
  <si>
    <t>% DM</t>
  </si>
  <si>
    <t>Vacuum, Pressure</t>
  </si>
  <si>
    <t xml:space="preserve">Enter wet and dry weights. </t>
  </si>
  <si>
    <t>inches mercury=</t>
  </si>
  <si>
    <t>kPa vacuum</t>
  </si>
  <si>
    <t>1 kilogram (kg) = 2.205 (2.2) pounds</t>
  </si>
  <si>
    <t>kPa =</t>
  </si>
  <si>
    <t>inches of mercury</t>
  </si>
  <si>
    <t>1 pound = .4536 (.45) kilograms</t>
  </si>
  <si>
    <t>psi =</t>
  </si>
  <si>
    <t>kilopascals (kPa)</t>
  </si>
  <si>
    <t>feet = one psi</t>
  </si>
  <si>
    <t>metres height</t>
  </si>
  <si>
    <t>feet height</t>
  </si>
  <si>
    <t>inches height</t>
  </si>
  <si>
    <t>kilopascals(kPa)=</t>
  </si>
  <si>
    <t>psi</t>
  </si>
  <si>
    <t>metre height =</t>
  </si>
  <si>
    <t>Temperature</t>
  </si>
  <si>
    <t xml:space="preserve">Humand blood 37° C. </t>
  </si>
  <si>
    <t>Celcius =</t>
  </si>
  <si>
    <t>F HumanCattle101</t>
  </si>
  <si>
    <t>Enter the Celcius temperature to obtain the F figure.</t>
  </si>
  <si>
    <t>C to F = (°C x 9 ÷ 5) + 32</t>
  </si>
  <si>
    <t>Fahrenheit =</t>
  </si>
  <si>
    <t>C Human Cattle38</t>
  </si>
  <si>
    <t>Enter the Fahrenheit temperature to obtain the C figure.</t>
  </si>
  <si>
    <t>F to C = (°F-32) x 5 ÷ 9</t>
  </si>
  <si>
    <t>Enter Litres</t>
  </si>
  <si>
    <t>Enter Distance</t>
  </si>
  <si>
    <t>Litres/100 km</t>
  </si>
  <si>
    <t>Litres/km</t>
  </si>
  <si>
    <t>km/litre</t>
  </si>
  <si>
    <t>Miles/Gallon</t>
  </si>
  <si>
    <t>Miles/US Gallon</t>
  </si>
  <si>
    <t>1 litre = 0.27 US gallon</t>
  </si>
  <si>
    <t>Days and weeks between</t>
  </si>
  <si>
    <t>Equivalent in petrol &gt;</t>
  </si>
  <si>
    <t>&lt; Diesel/litre</t>
  </si>
  <si>
    <t>Date</t>
  </si>
  <si>
    <t>Days</t>
  </si>
  <si>
    <t>Weeks</t>
  </si>
  <si>
    <t>&lt; Petrol/litre</t>
  </si>
  <si>
    <t xml:space="preserve">Enter the dates required in A and B. </t>
  </si>
  <si>
    <t>Holes/sq inch</t>
  </si>
  <si>
    <t>Known as</t>
  </si>
  <si>
    <t>1 mm holes =</t>
  </si>
  <si>
    <t>645 mesh</t>
  </si>
  <si>
    <t>0.5 mm holes =</t>
  </si>
  <si>
    <t>144 mesh</t>
  </si>
  <si>
    <t>Enter</t>
  </si>
  <si>
    <t>Feeding minerals</t>
  </si>
  <si>
    <t>Enter animal kg</t>
  </si>
  <si>
    <t>Enter percent/kg to feed</t>
  </si>
  <si>
    <t>Grams/cow/day</t>
  </si>
  <si>
    <t>Number of Animals</t>
  </si>
  <si>
    <t>Total kg fed per day</t>
  </si>
  <si>
    <t xml:space="preserve">Complete mineral mix </t>
  </si>
  <si>
    <t>Enter yours in yellow cells</t>
  </si>
  <si>
    <t>Total</t>
  </si>
  <si>
    <t>USA</t>
  </si>
  <si>
    <t>Enter animal lb</t>
  </si>
  <si>
    <t>Enter percent/lb to feed</t>
  </si>
  <si>
    <t>Ounces/day</t>
  </si>
  <si>
    <t>Total lb fed per day</t>
  </si>
  <si>
    <t xml:space="preserve">Complete mineral mix* </t>
  </si>
  <si>
    <t>*e.g.,  DeLaval mineral mix of seven elements.</t>
  </si>
  <si>
    <t>Selenium</t>
  </si>
  <si>
    <t xml:space="preserve">Selcote Ultra has 1% selenium </t>
  </si>
  <si>
    <t>1% Se at 1 kg/ha = 10 grams/ha</t>
  </si>
  <si>
    <t>Parts per million equal grams per ton?</t>
  </si>
  <si>
    <t xml:space="preserve">5 grams/tonne/ha = 5 grams/hectare. A teaspoon of water is five grams.  </t>
  </si>
  <si>
    <t>5 ppm = 5 grams per tonne</t>
  </si>
  <si>
    <t xml:space="preserve">See  Mineral Feeding in Spreadsheets for fuller details on how to feed mineral mixes and magnesium. </t>
  </si>
  <si>
    <t xml:space="preserve">u is the symbol for a millionth, so 1 ug is a millionth of a gram, approximately, because grams are weight and ppm are parts or volume. </t>
  </si>
  <si>
    <t>ug/l to nmol/kg multiply by 10. 10 ugl/l  = 100 nmol/l</t>
  </si>
  <si>
    <t>mmol/L is millimoles per litre.</t>
  </si>
  <si>
    <t>mmol (molecular count) is used when describing concentration of something like glucose in blood.</t>
  </si>
  <si>
    <t xml:space="preserve">USA usually use mg/dl (milligrams per decilitre). Scientific journals are moving to mmol/L exclusively however mg/dl won't disappear </t>
  </si>
  <si>
    <t>To go from mmol/L to mg/dl multiply by the molecular weight which in glucose is 18. So if the blood sample contains 1.0 mmol/L of glucose then multiply by 18 to get 18 mg/dl.</t>
  </si>
  <si>
    <t xml:space="preserve">To convert mg/dl to mmol/l divide by 18 or multiply by 0.55. </t>
  </si>
  <si>
    <t>Weights are in mg/kg, microgram/kg (ugm/kg) or ppm or %.</t>
  </si>
  <si>
    <t>/l or /L is about the same as /kg or /2.2 lb</t>
  </si>
  <si>
    <t>mIU/ml = IU/L</t>
  </si>
  <si>
    <t>Linear</t>
  </si>
  <si>
    <t>10 millimeters (mm) =</t>
  </si>
  <si>
    <t>1 centimeter (cm)</t>
  </si>
  <si>
    <t>10 centimeters =</t>
  </si>
  <si>
    <t>1 decimeter (dm)</t>
  </si>
  <si>
    <t>= 100 millimeters</t>
  </si>
  <si>
    <t>10 decimeters =</t>
  </si>
  <si>
    <t>1 meter (m)</t>
  </si>
  <si>
    <t>= 1,000 millimeters</t>
  </si>
  <si>
    <t>10 meters =</t>
  </si>
  <si>
    <t>1 dekameter (dam)</t>
  </si>
  <si>
    <t>10 dekameters =</t>
  </si>
  <si>
    <t>1 hectometer (hm)</t>
  </si>
  <si>
    <t>= 100 meters</t>
  </si>
  <si>
    <t>10 hectometers =</t>
  </si>
  <si>
    <t>1 kilometer (km)</t>
  </si>
  <si>
    <t>= 1,000 meters</t>
  </si>
  <si>
    <t>10 milliliters (ml) =</t>
  </si>
  <si>
    <t>1 centiliter (cl)</t>
  </si>
  <si>
    <t>10 centiliters =</t>
  </si>
  <si>
    <t>1 deciliter (dl)</t>
  </si>
  <si>
    <t>= 100 milliliters</t>
  </si>
  <si>
    <t>10 deciliters =</t>
  </si>
  <si>
    <t>1 liter (l)</t>
  </si>
  <si>
    <t>= 1,000 milliliters</t>
  </si>
  <si>
    <t>10 liters =</t>
  </si>
  <si>
    <t>1 dekaliter (dal)</t>
  </si>
  <si>
    <t>10 dekaliters =</t>
  </si>
  <si>
    <t>1 hectoliter (hl)</t>
  </si>
  <si>
    <t>= 100 liters</t>
  </si>
  <si>
    <t>10 hectoliters =</t>
  </si>
  <si>
    <t>1 kiloliter (kl)</t>
  </si>
  <si>
    <t>= 1,000 liters</t>
  </si>
  <si>
    <t>Cubic</t>
  </si>
  <si>
    <t>1,000 cubic millimeters (mm3) =</t>
  </si>
  <si>
    <t>1 cu centimeter (cm3)</t>
  </si>
  <si>
    <t>1,000 cubic centimeters =</t>
  </si>
  <si>
    <t>1 cu decimeter (dm3)</t>
  </si>
  <si>
    <t>1,000,000 cu millimeters</t>
  </si>
  <si>
    <t>1,000 cubic decimeters =</t>
  </si>
  <si>
    <t>1 cu meter (m3)</t>
  </si>
  <si>
    <t>1 stere</t>
  </si>
  <si>
    <t>1,000,000 cu centimeters</t>
  </si>
  <si>
    <t>1,000,000,000 cu millimeters</t>
  </si>
  <si>
    <t>10 milligrams (mg) =</t>
  </si>
  <si>
    <t>1 centigram (cg)</t>
  </si>
  <si>
    <t>Bag 25 kg</t>
  </si>
  <si>
    <t>10 centigrams =</t>
  </si>
  <si>
    <t>1 decigram (dg)</t>
  </si>
  <si>
    <t>= 100 milligrams</t>
  </si>
  <si>
    <t>10 decigrams =</t>
  </si>
  <si>
    <t>1 gram (g)</t>
  </si>
  <si>
    <t>= 1,000 milligrams</t>
  </si>
  <si>
    <t>10 grams =</t>
  </si>
  <si>
    <t>1 dekagram (dag)</t>
  </si>
  <si>
    <t>10 dekagrams =</t>
  </si>
  <si>
    <t>1 hectogram (hg)</t>
  </si>
  <si>
    <t>= 100 grams</t>
  </si>
  <si>
    <t>10 hectograms =</t>
  </si>
  <si>
    <t>1 kilogram (kg)</t>
  </si>
  <si>
    <t>= 1,000 grams</t>
  </si>
  <si>
    <t>1,000 kilograms =</t>
  </si>
  <si>
    <t>1 metric ton (t)</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</si>
</sst>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d&quot;-&quot;mmm&quot;-&quot;yyyy"/>
    <numFmt numFmtId="165" formatCode="h&quot;:&quot;mm&quot; &quot;AM/PM"/>
    <numFmt numFmtId="166" formatCode="h&quot;:&quot;mm"/>
    <numFmt numFmtId="167" formatCode="dddd&quot;, &quot;d/m/yy"/>
    <numFmt numFmtId="168" formatCode="0.0%"/>
    <numFmt numFmtId="169" formatCode="&quot;$&quot;#,##0.00&quot; &quot;;\(&quot;$&quot;#,##0.00\)"/>
    <numFmt numFmtId="170" formatCode="#,##0.00&quot; &quot;;\(#,##0.00\)"/>
    <numFmt numFmtId="171" formatCode="#,##0.0"/>
    <numFmt numFmtId="172" formatCode="0.0000"/>
    <numFmt numFmtId="173" formatCode="&quot;$&quot;#,##0"/>
    <numFmt numFmtId="174" formatCode="#,##0%"/>
    <numFmt numFmtId="175" formatCode="#,##0.0%"/>
    <numFmt numFmtId="176" formatCode="&quot;$&quot;#,##0&quot; &quot;;\(&quot;$&quot;#,##0\)"/>
    <numFmt numFmtId="177" formatCode="#,##0.00%"/>
    <numFmt numFmtId="178" formatCode="&quot;$&quot;0.00"/>
    <numFmt numFmtId="179" formatCode="d&quot; &quot;mmm&quot; &quot;yy"/>
    <numFmt numFmtId="180" formatCode="0.0"/>
    <numFmt numFmtId="181" formatCode="#,##0.00000&quot; &quot;;\(#,##0.00000\)"/>
    <numFmt numFmtId="182" formatCode="#,##0.000&quot; &quot;;\(#,##0.000\)"/>
    <numFmt numFmtId="183" formatCode="#,##0.00%&quot; &quot;;\(#,##0.00%\)"/>
    <numFmt numFmtId="184" formatCode="#,##0.000%&quot; &quot;;\(#,##0.000%\)"/>
    <numFmt numFmtId="185" formatCode="#,##0.0000"/>
    <numFmt numFmtId="186" formatCode="&quot;$&quot;#,##0.00"/>
    <numFmt numFmtId="187" formatCode="&quot;$&quot;#,##0.000"/>
    <numFmt numFmtId="188" formatCode="&quot;$&quot;#,##0.0000"/>
    <numFmt numFmtId="189" formatCode="#,##0.0&quot; &quot;;\(#,##0.0\)"/>
    <numFmt numFmtId="190" formatCode="#,##0&quot; &quot;;\(#,##0\)"/>
    <numFmt numFmtId="191" formatCode="d&quot;/&quot;m&quot;/&quot;yy"/>
    <numFmt numFmtId="192" formatCode="0.000%"/>
  </numFmts>
  <fonts count="32" x14ac:knownFonts="1">
    <font>
      <sz val="10"/>
      <color indexed="8"/>
      <name val="Geneva"/>
    </font>
    <font>
      <sz val="12"/>
      <color indexed="8"/>
      <name val="Geneva"/>
    </font>
    <font>
      <sz val="14"/>
      <color indexed="8"/>
      <name val="Geneva"/>
    </font>
    <font>
      <u/>
      <sz val="12"/>
      <color indexed="11"/>
      <name val="Geneva"/>
    </font>
    <font>
      <sz val="10"/>
      <color indexed="8"/>
      <name val="Times New Roman"/>
    </font>
    <font>
      <b/>
      <sz val="18"/>
      <color indexed="8"/>
      <name val="Times New Roman"/>
    </font>
    <font>
      <sz val="13"/>
      <color indexed="8"/>
      <name val="Times New Roman"/>
    </font>
    <font>
      <sz val="16"/>
      <color indexed="8"/>
      <name val="Times New Roman"/>
    </font>
    <font>
      <b/>
      <sz val="14"/>
      <color indexed="8"/>
      <name val="Times New Roman"/>
    </font>
    <font>
      <sz val="14"/>
      <color indexed="8"/>
      <name val="Times New Roman"/>
    </font>
    <font>
      <sz val="12"/>
      <color indexed="8"/>
      <name val="Times New Roman"/>
    </font>
    <font>
      <sz val="16"/>
      <color indexed="14"/>
      <name val="Times New Roman"/>
    </font>
    <font>
      <u/>
      <sz val="16"/>
      <color indexed="15"/>
      <name val="Times New Roman"/>
    </font>
    <font>
      <sz val="13"/>
      <color indexed="14"/>
      <name val="Times New Roman"/>
    </font>
    <font>
      <b/>
      <sz val="13"/>
      <color indexed="8"/>
      <name val="Times New Roman"/>
    </font>
    <font>
      <u/>
      <sz val="14"/>
      <color indexed="16"/>
      <name val="Times New Roman"/>
    </font>
    <font>
      <sz val="10"/>
      <color indexed="14"/>
      <name val="Times New Roman"/>
    </font>
    <font>
      <sz val="13"/>
      <color indexed="17"/>
      <name val="Times New Roman"/>
    </font>
    <font>
      <sz val="11"/>
      <color indexed="8"/>
      <name val="Times New Roman"/>
    </font>
    <font>
      <u/>
      <sz val="13"/>
      <color indexed="8"/>
      <name val="Times New Roman"/>
    </font>
    <font>
      <b/>
      <u/>
      <sz val="13"/>
      <color indexed="8"/>
      <name val="Times New Roman"/>
    </font>
    <font>
      <sz val="13"/>
      <color indexed="12"/>
      <name val="Times New Roman"/>
    </font>
    <font>
      <b/>
      <sz val="12"/>
      <color indexed="8"/>
      <name val="Times New Roman"/>
    </font>
    <font>
      <b/>
      <sz val="16"/>
      <color indexed="8"/>
      <name val="Times New Roman"/>
    </font>
    <font>
      <b/>
      <sz val="12"/>
      <color indexed="17"/>
      <name val="Times New Roman"/>
    </font>
    <font>
      <sz val="12"/>
      <color indexed="16"/>
      <name val="Times New Roman"/>
    </font>
    <font>
      <sz val="12"/>
      <color indexed="17"/>
      <name val="Times New Roman"/>
    </font>
    <font>
      <sz val="12"/>
      <color indexed="8"/>
      <name val="Calibri"/>
    </font>
    <font>
      <sz val="14"/>
      <color indexed="17"/>
      <name val="Times New Roman"/>
    </font>
    <font>
      <sz val="14"/>
      <color indexed="17"/>
      <name val="Times"/>
    </font>
    <font>
      <b/>
      <u/>
      <sz val="14"/>
      <color indexed="8"/>
      <name val="Times New Roman"/>
    </font>
    <font>
      <sz val="13"/>
      <color rgb="FFFF0000"/>
      <name val="Times New Roman"/>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8"/>
        <bgColor auto="1"/>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206">
    <xf numFmtId="0" fontId="0" fillId="0" borderId="0" xfId="0" applyFont="1" applyAlignment="1"/>
    <xf numFmtId="0" fontId="2" fillId="0" borderId="0" xfId="0" applyFont="1"/>
    <xf numFmtId="0" fontId="1" fillId="2" borderId="0" xfId="0" applyFont="1" applyFill="1"/>
    <xf numFmtId="0" fontId="1" fillId="3" borderId="0" xfId="0" applyFont="1" applyFill="1"/>
    <xf numFmtId="0" fontId="3" fillId="3" borderId="0" xfId="0" applyFont="1" applyFill="1"/>
    <xf numFmtId="0" fontId="4" fillId="4" borderId="0" xfId="0" applyNumberFormat="1" applyFont="1" applyFill="1" applyAlignment="1"/>
    <xf numFmtId="0" fontId="0" fillId="0" borderId="1" xfId="0" applyNumberFormat="1" applyFont="1" applyBorder="1" applyAlignment="1"/>
    <xf numFmtId="49" fontId="5" fillId="4" borderId="1" xfId="0" applyNumberFormat="1" applyFont="1" applyFill="1" applyBorder="1" applyAlignment="1"/>
    <xf numFmtId="0" fontId="6" fillId="4" borderId="1" xfId="0" applyNumberFormat="1" applyFont="1" applyFill="1" applyBorder="1" applyAlignment="1">
      <alignment horizontal="center"/>
    </xf>
    <xf numFmtId="49" fontId="7" fillId="4" borderId="1" xfId="0" applyNumberFormat="1" applyFont="1" applyFill="1" applyBorder="1" applyAlignment="1">
      <alignment horizontal="left"/>
    </xf>
    <xf numFmtId="0" fontId="8" fillId="4" borderId="1" xfId="0" applyNumberFormat="1" applyFont="1" applyFill="1" applyBorder="1" applyAlignment="1">
      <alignment horizontal="center"/>
    </xf>
    <xf numFmtId="164" fontId="8" fillId="5" borderId="1" xfId="0" applyNumberFormat="1" applyFont="1" applyFill="1" applyBorder="1" applyAlignment="1">
      <alignment horizontal="center"/>
    </xf>
    <xf numFmtId="49" fontId="8" fillId="4" borderId="1" xfId="0" applyNumberFormat="1" applyFont="1" applyFill="1" applyBorder="1" applyAlignment="1">
      <alignment horizontal="left"/>
    </xf>
    <xf numFmtId="49" fontId="9" fillId="4" borderId="1" xfId="0" applyNumberFormat="1" applyFont="1" applyFill="1" applyBorder="1" applyAlignment="1"/>
    <xf numFmtId="49" fontId="9" fillId="4" borderId="1" xfId="0" applyNumberFormat="1" applyFont="1" applyFill="1" applyBorder="1" applyAlignment="1">
      <alignment horizontal="center"/>
    </xf>
    <xf numFmtId="0" fontId="6" fillId="4" borderId="1" xfId="0" applyNumberFormat="1" applyFont="1" applyFill="1" applyBorder="1" applyAlignment="1"/>
    <xf numFmtId="0" fontId="10" fillId="4" borderId="1" xfId="0" applyNumberFormat="1" applyFont="1" applyFill="1" applyBorder="1" applyAlignment="1"/>
    <xf numFmtId="49" fontId="11" fillId="4" borderId="1" xfId="0" applyNumberFormat="1" applyFont="1" applyFill="1" applyBorder="1" applyAlignment="1">
      <alignment horizontal="right"/>
    </xf>
    <xf numFmtId="49" fontId="12" fillId="4" borderId="1" xfId="0" applyNumberFormat="1" applyFont="1" applyFill="1" applyBorder="1" applyAlignment="1"/>
    <xf numFmtId="49" fontId="11" fillId="4" borderId="1" xfId="0" applyNumberFormat="1" applyFont="1" applyFill="1" applyBorder="1" applyAlignment="1"/>
    <xf numFmtId="0" fontId="13" fillId="4" borderId="1" xfId="0" applyNumberFormat="1" applyFont="1" applyFill="1" applyBorder="1" applyAlignment="1"/>
    <xf numFmtId="49" fontId="6" fillId="4" borderId="1" xfId="0" applyNumberFormat="1" applyFont="1" applyFill="1" applyBorder="1" applyAlignment="1"/>
    <xf numFmtId="0" fontId="6" fillId="4" borderId="1" xfId="0" applyNumberFormat="1" applyFont="1" applyFill="1" applyBorder="1" applyAlignment="1">
      <alignment horizontal="left"/>
    </xf>
    <xf numFmtId="0" fontId="0" fillId="4" borderId="1" xfId="0" applyNumberFormat="1" applyFont="1" applyFill="1" applyBorder="1" applyAlignment="1"/>
    <xf numFmtId="49" fontId="9" fillId="4" borderId="1" xfId="0" applyNumberFormat="1" applyFont="1" applyFill="1" applyBorder="1" applyAlignment="1">
      <alignment horizontal="right"/>
    </xf>
    <xf numFmtId="0" fontId="4" fillId="4" borderId="1" xfId="0" applyNumberFormat="1" applyFont="1" applyFill="1" applyBorder="1" applyAlignment="1"/>
    <xf numFmtId="49" fontId="14" fillId="4" borderId="1" xfId="0" applyNumberFormat="1" applyFont="1" applyFill="1" applyBorder="1" applyAlignment="1">
      <alignment horizontal="left"/>
    </xf>
    <xf numFmtId="0" fontId="15" fillId="4" borderId="1" xfId="0" applyNumberFormat="1" applyFont="1" applyFill="1" applyBorder="1" applyAlignment="1"/>
    <xf numFmtId="0" fontId="16" fillId="4" borderId="1" xfId="0" applyNumberFormat="1" applyFont="1" applyFill="1" applyBorder="1" applyAlignment="1"/>
    <xf numFmtId="49" fontId="17" fillId="4" borderId="1" xfId="0" applyNumberFormat="1" applyFont="1" applyFill="1" applyBorder="1" applyAlignment="1">
      <alignment horizontal="left"/>
    </xf>
    <xf numFmtId="49" fontId="14" fillId="4" borderId="1" xfId="0" applyNumberFormat="1" applyFont="1" applyFill="1" applyBorder="1" applyAlignment="1">
      <alignment horizontal="center"/>
    </xf>
    <xf numFmtId="0" fontId="14" fillId="4" borderId="1" xfId="0" applyNumberFormat="1" applyFont="1" applyFill="1" applyBorder="1" applyAlignment="1"/>
    <xf numFmtId="165" fontId="6" fillId="5" borderId="1" xfId="0" applyNumberFormat="1" applyFont="1" applyFill="1" applyBorder="1" applyAlignment="1">
      <alignment horizontal="center"/>
    </xf>
    <xf numFmtId="0" fontId="6" fillId="6" borderId="1" xfId="0" applyNumberFormat="1" applyFont="1" applyFill="1" applyBorder="1" applyAlignment="1">
      <alignment horizontal="center"/>
    </xf>
    <xf numFmtId="166" fontId="6" fillId="4" borderId="1" xfId="0" applyNumberFormat="1" applyFont="1" applyFill="1" applyBorder="1" applyAlignment="1"/>
    <xf numFmtId="0" fontId="18" fillId="4" borderId="1" xfId="0" applyNumberFormat="1" applyFont="1" applyFill="1" applyBorder="1" applyAlignment="1"/>
    <xf numFmtId="167" fontId="18" fillId="6" borderId="1" xfId="0" applyNumberFormat="1" applyFont="1" applyFill="1" applyBorder="1" applyAlignment="1">
      <alignment horizontal="center"/>
    </xf>
    <xf numFmtId="167" fontId="18" fillId="4" borderId="1" xfId="0" applyNumberFormat="1" applyFont="1" applyFill="1" applyBorder="1" applyAlignment="1"/>
    <xf numFmtId="49" fontId="6" fillId="4" borderId="1" xfId="0" applyNumberFormat="1" applyFont="1" applyFill="1" applyBorder="1" applyAlignment="1">
      <alignment horizontal="right"/>
    </xf>
    <xf numFmtId="4" fontId="6" fillId="4" borderId="1" xfId="0" applyNumberFormat="1" applyFont="1" applyFill="1" applyBorder="1" applyAlignment="1">
      <alignment horizontal="center"/>
    </xf>
    <xf numFmtId="49" fontId="6" fillId="4" borderId="1" xfId="0" applyNumberFormat="1" applyFont="1" applyFill="1" applyBorder="1" applyAlignment="1">
      <alignment horizontal="left"/>
    </xf>
    <xf numFmtId="0" fontId="14" fillId="4" borderId="1" xfId="0" applyNumberFormat="1" applyFont="1" applyFill="1" applyBorder="1" applyAlignment="1">
      <alignment horizontal="left"/>
    </xf>
    <xf numFmtId="0" fontId="14" fillId="4" borderId="1" xfId="0" applyNumberFormat="1" applyFont="1" applyFill="1" applyBorder="1" applyAlignment="1">
      <alignment horizontal="center"/>
    </xf>
    <xf numFmtId="165" fontId="6" fillId="6" borderId="1" xfId="0" applyNumberFormat="1" applyFont="1" applyFill="1" applyBorder="1" applyAlignment="1">
      <alignment horizontal="center"/>
    </xf>
    <xf numFmtId="168" fontId="6" fillId="4" borderId="1" xfId="0" applyNumberFormat="1" applyFont="1" applyFill="1" applyBorder="1" applyAlignment="1">
      <alignment horizontal="center"/>
    </xf>
    <xf numFmtId="169" fontId="6" fillId="4" borderId="1" xfId="0" applyNumberFormat="1" applyFont="1" applyFill="1" applyBorder="1" applyAlignment="1">
      <alignment horizontal="center"/>
    </xf>
    <xf numFmtId="49" fontId="10" fillId="4" borderId="1" xfId="0" applyNumberFormat="1" applyFont="1" applyFill="1" applyBorder="1" applyAlignment="1"/>
    <xf numFmtId="49" fontId="19" fillId="4" borderId="1" xfId="0" applyNumberFormat="1" applyFont="1" applyFill="1" applyBorder="1" applyAlignment="1">
      <alignment horizontal="center"/>
    </xf>
    <xf numFmtId="49" fontId="19" fillId="4" borderId="1" xfId="0" applyNumberFormat="1" applyFont="1" applyFill="1" applyBorder="1" applyAlignment="1">
      <alignment horizontal="right"/>
    </xf>
    <xf numFmtId="49" fontId="20" fillId="4" borderId="1" xfId="0" applyNumberFormat="1" applyFont="1" applyFill="1" applyBorder="1" applyAlignment="1"/>
    <xf numFmtId="0" fontId="6" fillId="4" borderId="1" xfId="0" applyNumberFormat="1" applyFont="1" applyFill="1" applyBorder="1" applyAlignment="1">
      <alignment horizontal="right"/>
    </xf>
    <xf numFmtId="0" fontId="6" fillId="5" borderId="1" xfId="0" applyNumberFormat="1" applyFont="1" applyFill="1" applyBorder="1" applyAlignment="1">
      <alignment horizontal="center"/>
    </xf>
    <xf numFmtId="170" fontId="6" fillId="6" borderId="1" xfId="0" applyNumberFormat="1" applyFont="1" applyFill="1" applyBorder="1" applyAlignment="1">
      <alignment horizontal="right"/>
    </xf>
    <xf numFmtId="49" fontId="6" fillId="4" borderId="1" xfId="0" applyNumberFormat="1" applyFont="1" applyFill="1" applyBorder="1" applyAlignment="1">
      <alignment horizontal="center"/>
    </xf>
    <xf numFmtId="0" fontId="6" fillId="6" borderId="1" xfId="0" applyNumberFormat="1" applyFont="1" applyFill="1" applyBorder="1" applyAlignment="1">
      <alignment horizontal="right"/>
    </xf>
    <xf numFmtId="0" fontId="14" fillId="5" borderId="1" xfId="0" applyNumberFormat="1" applyFont="1" applyFill="1" applyBorder="1" applyAlignment="1">
      <alignment horizontal="center"/>
    </xf>
    <xf numFmtId="171" fontId="6" fillId="6" borderId="1" xfId="0" applyNumberFormat="1" applyFont="1" applyFill="1" applyBorder="1" applyAlignment="1">
      <alignment horizontal="left"/>
    </xf>
    <xf numFmtId="171" fontId="6" fillId="6" borderId="1" xfId="0" applyNumberFormat="1" applyFont="1" applyFill="1" applyBorder="1" applyAlignment="1"/>
    <xf numFmtId="4" fontId="14" fillId="4" borderId="1" xfId="0" applyNumberFormat="1" applyFont="1" applyFill="1" applyBorder="1" applyAlignment="1">
      <alignment horizontal="center"/>
    </xf>
    <xf numFmtId="0" fontId="6" fillId="6" borderId="1" xfId="0" applyNumberFormat="1" applyFont="1" applyFill="1" applyBorder="1" applyAlignment="1">
      <alignment horizontal="left"/>
    </xf>
    <xf numFmtId="4" fontId="6" fillId="6" borderId="1" xfId="0" applyNumberFormat="1" applyFont="1" applyFill="1" applyBorder="1" applyAlignment="1"/>
    <xf numFmtId="4" fontId="6" fillId="6" borderId="1" xfId="0" applyNumberFormat="1" applyFont="1" applyFill="1" applyBorder="1" applyAlignment="1">
      <alignment horizontal="center"/>
    </xf>
    <xf numFmtId="2" fontId="6" fillId="6" borderId="1" xfId="0" applyNumberFormat="1" applyFont="1" applyFill="1" applyBorder="1" applyAlignment="1">
      <alignment horizontal="right"/>
    </xf>
    <xf numFmtId="4" fontId="6" fillId="6" borderId="1" xfId="0" applyNumberFormat="1" applyFont="1" applyFill="1" applyBorder="1" applyAlignment="1">
      <alignment horizontal="left"/>
    </xf>
    <xf numFmtId="3" fontId="6" fillId="4" borderId="1" xfId="0" applyNumberFormat="1" applyFont="1" applyFill="1" applyBorder="1" applyAlignment="1"/>
    <xf numFmtId="171" fontId="6" fillId="6" borderId="1" xfId="0" applyNumberFormat="1" applyFont="1" applyFill="1" applyBorder="1" applyAlignment="1">
      <alignment horizontal="right"/>
    </xf>
    <xf numFmtId="171" fontId="9" fillId="6" borderId="1" xfId="0" applyNumberFormat="1" applyFont="1" applyFill="1" applyBorder="1" applyAlignment="1"/>
    <xf numFmtId="3" fontId="19" fillId="4" borderId="1" xfId="0" applyNumberFormat="1" applyFont="1" applyFill="1" applyBorder="1" applyAlignment="1">
      <alignment horizontal="center"/>
    </xf>
    <xf numFmtId="3" fontId="6" fillId="6" borderId="1" xfId="0" applyNumberFormat="1" applyFont="1" applyFill="1" applyBorder="1" applyAlignment="1"/>
    <xf numFmtId="3" fontId="6" fillId="5" borderId="1" xfId="0" applyNumberFormat="1" applyFont="1" applyFill="1" applyBorder="1" applyAlignment="1">
      <alignment horizontal="center"/>
    </xf>
    <xf numFmtId="3" fontId="6" fillId="4" borderId="1" xfId="0" applyNumberFormat="1" applyFont="1" applyFill="1" applyBorder="1" applyAlignment="1">
      <alignment horizontal="center"/>
    </xf>
    <xf numFmtId="3" fontId="6" fillId="6" borderId="1" xfId="0" applyNumberFormat="1" applyFont="1" applyFill="1" applyBorder="1" applyAlignment="1">
      <alignment horizontal="right"/>
    </xf>
    <xf numFmtId="49" fontId="14" fillId="4" borderId="1" xfId="0" applyNumberFormat="1" applyFont="1" applyFill="1" applyBorder="1" applyAlignment="1"/>
    <xf numFmtId="171" fontId="6" fillId="4" borderId="1" xfId="0" applyNumberFormat="1" applyFont="1" applyFill="1" applyBorder="1" applyAlignment="1">
      <alignment horizontal="center"/>
    </xf>
    <xf numFmtId="172" fontId="6" fillId="6" borderId="1" xfId="0" applyNumberFormat="1" applyFont="1" applyFill="1" applyBorder="1" applyAlignment="1">
      <alignment horizontal="right"/>
    </xf>
    <xf numFmtId="0" fontId="6" fillId="6" borderId="1" xfId="0" applyNumberFormat="1" applyFont="1" applyFill="1" applyBorder="1" applyAlignment="1"/>
    <xf numFmtId="173" fontId="6" fillId="4" borderId="1" xfId="0" applyNumberFormat="1" applyFont="1" applyFill="1" applyBorder="1" applyAlignment="1">
      <alignment horizontal="center"/>
    </xf>
    <xf numFmtId="9" fontId="6" fillId="4" borderId="1" xfId="0" applyNumberFormat="1" applyFont="1" applyFill="1" applyBorder="1" applyAlignment="1">
      <alignment horizontal="center"/>
    </xf>
    <xf numFmtId="174" fontId="6" fillId="4" borderId="1" xfId="0" applyNumberFormat="1" applyFont="1" applyFill="1" applyBorder="1" applyAlignment="1">
      <alignment horizontal="center"/>
    </xf>
    <xf numFmtId="175" fontId="6" fillId="4" borderId="1" xfId="0" applyNumberFormat="1" applyFont="1" applyFill="1" applyBorder="1" applyAlignment="1">
      <alignment horizontal="center"/>
    </xf>
    <xf numFmtId="176" fontId="6" fillId="5" borderId="1" xfId="0" applyNumberFormat="1" applyFont="1" applyFill="1" applyBorder="1" applyAlignment="1">
      <alignment horizontal="center"/>
    </xf>
    <xf numFmtId="169" fontId="6" fillId="6" borderId="1" xfId="0" applyNumberFormat="1" applyFont="1" applyFill="1" applyBorder="1" applyAlignment="1">
      <alignment horizontal="right"/>
    </xf>
    <xf numFmtId="176" fontId="6" fillId="6" borderId="1" xfId="0" applyNumberFormat="1" applyFont="1" applyFill="1" applyBorder="1" applyAlignment="1">
      <alignment horizontal="center"/>
    </xf>
    <xf numFmtId="177" fontId="6" fillId="4" borderId="1" xfId="0" applyNumberFormat="1" applyFont="1" applyFill="1" applyBorder="1" applyAlignment="1">
      <alignment horizontal="center"/>
    </xf>
    <xf numFmtId="49" fontId="14" fillId="4" borderId="1" xfId="0" applyNumberFormat="1" applyFont="1" applyFill="1" applyBorder="1" applyAlignment="1">
      <alignment horizontal="right"/>
    </xf>
    <xf numFmtId="171" fontId="6" fillId="6" borderId="1" xfId="0" applyNumberFormat="1" applyFont="1" applyFill="1" applyBorder="1" applyAlignment="1">
      <alignment horizontal="center"/>
    </xf>
    <xf numFmtId="173" fontId="6" fillId="6" borderId="1" xfId="0" applyNumberFormat="1" applyFont="1" applyFill="1" applyBorder="1" applyAlignment="1">
      <alignment horizontal="center"/>
    </xf>
    <xf numFmtId="178" fontId="6" fillId="6" borderId="1" xfId="0" applyNumberFormat="1" applyFont="1" applyFill="1" applyBorder="1" applyAlignment="1">
      <alignment horizontal="center"/>
    </xf>
    <xf numFmtId="14" fontId="6" fillId="6" borderId="1" xfId="0" applyNumberFormat="1" applyFont="1" applyFill="1" applyBorder="1" applyAlignment="1">
      <alignment horizontal="center"/>
    </xf>
    <xf numFmtId="14" fontId="6" fillId="4" borderId="1" xfId="0" applyNumberFormat="1" applyFont="1" applyFill="1" applyBorder="1" applyAlignment="1">
      <alignment horizontal="center"/>
    </xf>
    <xf numFmtId="9" fontId="6" fillId="6" borderId="1" xfId="0" applyNumberFormat="1" applyFont="1" applyFill="1" applyBorder="1" applyAlignment="1">
      <alignment horizontal="center"/>
    </xf>
    <xf numFmtId="175" fontId="6" fillId="6" borderId="1" xfId="0" applyNumberFormat="1" applyFont="1" applyFill="1" applyBorder="1" applyAlignment="1">
      <alignment horizontal="center"/>
    </xf>
    <xf numFmtId="177" fontId="6" fillId="6" borderId="1" xfId="0" applyNumberFormat="1" applyFont="1" applyFill="1" applyBorder="1" applyAlignment="1">
      <alignment horizontal="center"/>
    </xf>
    <xf numFmtId="179" fontId="6" fillId="6" borderId="1" xfId="0" applyNumberFormat="1" applyFont="1" applyFill="1" applyBorder="1" applyAlignment="1">
      <alignment horizontal="center"/>
    </xf>
    <xf numFmtId="0" fontId="19" fillId="4" borderId="1" xfId="0" applyNumberFormat="1" applyFont="1" applyFill="1" applyBorder="1" applyAlignment="1">
      <alignment horizontal="center"/>
    </xf>
    <xf numFmtId="179" fontId="6" fillId="4" borderId="1" xfId="0" applyNumberFormat="1" applyFont="1" applyFill="1" applyBorder="1" applyAlignment="1">
      <alignment horizontal="center"/>
    </xf>
    <xf numFmtId="2" fontId="6" fillId="6" borderId="1" xfId="0" applyNumberFormat="1" applyFont="1" applyFill="1" applyBorder="1" applyAlignment="1"/>
    <xf numFmtId="3" fontId="9" fillId="5" borderId="1" xfId="0" applyNumberFormat="1" applyFont="1" applyFill="1" applyBorder="1" applyAlignment="1">
      <alignment horizontal="center"/>
    </xf>
    <xf numFmtId="49" fontId="9" fillId="4" borderId="1" xfId="0" applyNumberFormat="1" applyFont="1" applyFill="1" applyBorder="1" applyAlignment="1">
      <alignment horizontal="left"/>
    </xf>
    <xf numFmtId="3" fontId="9" fillId="6" borderId="1" xfId="0" applyNumberFormat="1" applyFont="1" applyFill="1" applyBorder="1" applyAlignment="1">
      <alignment horizontal="right"/>
    </xf>
    <xf numFmtId="170" fontId="9" fillId="6" borderId="1" xfId="0" applyNumberFormat="1" applyFont="1" applyFill="1" applyBorder="1" applyAlignment="1">
      <alignment horizontal="center"/>
    </xf>
    <xf numFmtId="1" fontId="9" fillId="6" borderId="1" xfId="0" applyNumberFormat="1" applyFont="1" applyFill="1" applyBorder="1" applyAlignment="1">
      <alignment horizontal="right"/>
    </xf>
    <xf numFmtId="180" fontId="6" fillId="6" borderId="1" xfId="0" applyNumberFormat="1" applyFont="1" applyFill="1" applyBorder="1" applyAlignment="1">
      <alignment horizontal="center"/>
    </xf>
    <xf numFmtId="49" fontId="18" fillId="4" borderId="1" xfId="0" applyNumberFormat="1" applyFont="1" applyFill="1" applyBorder="1" applyAlignment="1"/>
    <xf numFmtId="49" fontId="10" fillId="4" borderId="1" xfId="0" applyNumberFormat="1" applyFont="1" applyFill="1" applyBorder="1" applyAlignment="1">
      <alignment horizontal="center"/>
    </xf>
    <xf numFmtId="3" fontId="9" fillId="4" borderId="1" xfId="0" applyNumberFormat="1" applyFont="1" applyFill="1" applyBorder="1" applyAlignment="1">
      <alignment horizontal="center"/>
    </xf>
    <xf numFmtId="0" fontId="9" fillId="4" borderId="1" xfId="0" applyNumberFormat="1" applyFont="1" applyFill="1" applyBorder="1" applyAlignment="1">
      <alignment horizontal="left"/>
    </xf>
    <xf numFmtId="4" fontId="9" fillId="6" borderId="1" xfId="0" applyNumberFormat="1" applyFont="1" applyFill="1" applyBorder="1" applyAlignment="1">
      <alignment horizontal="center"/>
    </xf>
    <xf numFmtId="180" fontId="9" fillId="6" borderId="1" xfId="0" applyNumberFormat="1" applyFont="1" applyFill="1" applyBorder="1" applyAlignment="1">
      <alignment horizontal="right"/>
    </xf>
    <xf numFmtId="180" fontId="9" fillId="4" borderId="1" xfId="0" applyNumberFormat="1" applyFont="1" applyFill="1" applyBorder="1" applyAlignment="1">
      <alignment horizontal="center"/>
    </xf>
    <xf numFmtId="0" fontId="9" fillId="5" borderId="1" xfId="0" applyNumberFormat="1" applyFont="1" applyFill="1" applyBorder="1" applyAlignment="1">
      <alignment horizontal="center"/>
    </xf>
    <xf numFmtId="170" fontId="9" fillId="6" borderId="1" xfId="0" applyNumberFormat="1" applyFont="1" applyFill="1" applyBorder="1" applyAlignment="1">
      <alignment horizontal="right"/>
    </xf>
    <xf numFmtId="181" fontId="9" fillId="6" borderId="1" xfId="0" applyNumberFormat="1" applyFont="1" applyFill="1" applyBorder="1" applyAlignment="1">
      <alignment horizontal="right"/>
    </xf>
    <xf numFmtId="171" fontId="9" fillId="6" borderId="1" xfId="0" applyNumberFormat="1" applyFont="1" applyFill="1" applyBorder="1" applyAlignment="1">
      <alignment horizontal="center"/>
    </xf>
    <xf numFmtId="49" fontId="20" fillId="4" borderId="1" xfId="0" applyNumberFormat="1" applyFont="1" applyFill="1" applyBorder="1" applyAlignment="1">
      <alignment horizontal="center"/>
    </xf>
    <xf numFmtId="171" fontId="9" fillId="5" borderId="1" xfId="0" applyNumberFormat="1" applyFont="1" applyFill="1" applyBorder="1" applyAlignment="1">
      <alignment horizontal="center"/>
    </xf>
    <xf numFmtId="171" fontId="9" fillId="6" borderId="1" xfId="0" applyNumberFormat="1" applyFont="1" applyFill="1" applyBorder="1" applyAlignment="1">
      <alignment horizontal="right"/>
    </xf>
    <xf numFmtId="2" fontId="9" fillId="4" borderId="1" xfId="0" applyNumberFormat="1" applyFont="1" applyFill="1" applyBorder="1" applyAlignment="1">
      <alignment horizontal="center"/>
    </xf>
    <xf numFmtId="49" fontId="4" fillId="4" borderId="1" xfId="0" applyNumberFormat="1" applyFont="1" applyFill="1" applyBorder="1" applyAlignment="1"/>
    <xf numFmtId="2" fontId="6" fillId="4" borderId="1" xfId="0" applyNumberFormat="1" applyFont="1" applyFill="1" applyBorder="1" applyAlignment="1"/>
    <xf numFmtId="0" fontId="9" fillId="4" borderId="1" xfId="0" applyNumberFormat="1" applyFont="1" applyFill="1" applyBorder="1" applyAlignment="1"/>
    <xf numFmtId="0" fontId="4" fillId="4" borderId="1" xfId="0" applyNumberFormat="1" applyFont="1" applyFill="1" applyBorder="1" applyAlignment="1">
      <alignment horizontal="center"/>
    </xf>
    <xf numFmtId="182" fontId="9" fillId="6" borderId="1" xfId="0" applyNumberFormat="1" applyFont="1" applyFill="1" applyBorder="1" applyAlignment="1">
      <alignment horizontal="right"/>
    </xf>
    <xf numFmtId="3" fontId="9" fillId="6" borderId="1" xfId="0" applyNumberFormat="1" applyFont="1" applyFill="1" applyBorder="1" applyAlignment="1">
      <alignment horizontal="center"/>
    </xf>
    <xf numFmtId="4" fontId="6" fillId="6" borderId="2" xfId="0" applyNumberFormat="1" applyFont="1" applyFill="1" applyBorder="1" applyAlignment="1"/>
    <xf numFmtId="4" fontId="6" fillId="6" borderId="3" xfId="0" applyNumberFormat="1" applyFont="1" applyFill="1" applyBorder="1" applyAlignment="1">
      <alignment horizontal="center"/>
    </xf>
    <xf numFmtId="1" fontId="6" fillId="6" borderId="1" xfId="0" applyNumberFormat="1" applyFont="1" applyFill="1" applyBorder="1" applyAlignment="1"/>
    <xf numFmtId="178" fontId="6" fillId="4" borderId="1" xfId="0" applyNumberFormat="1" applyFont="1" applyFill="1" applyBorder="1" applyAlignment="1">
      <alignment horizontal="center"/>
    </xf>
    <xf numFmtId="183" fontId="9" fillId="6" borderId="1" xfId="0" applyNumberFormat="1" applyFont="1" applyFill="1" applyBorder="1" applyAlignment="1">
      <alignment horizontal="right"/>
    </xf>
    <xf numFmtId="3" fontId="6" fillId="6" borderId="1" xfId="0" applyNumberFormat="1" applyFont="1" applyFill="1" applyBorder="1" applyAlignment="1">
      <alignment horizontal="center"/>
    </xf>
    <xf numFmtId="184" fontId="9" fillId="6" borderId="1" xfId="0" applyNumberFormat="1" applyFont="1" applyFill="1" applyBorder="1" applyAlignment="1">
      <alignment horizontal="right"/>
    </xf>
    <xf numFmtId="49" fontId="4" fillId="4" borderId="1" xfId="0" applyNumberFormat="1" applyFont="1" applyFill="1" applyBorder="1" applyAlignment="1">
      <alignment horizontal="center"/>
    </xf>
    <xf numFmtId="0" fontId="9" fillId="6" borderId="1" xfId="0" applyNumberFormat="1" applyFont="1" applyFill="1" applyBorder="1" applyAlignment="1">
      <alignment horizontal="center"/>
    </xf>
    <xf numFmtId="0" fontId="9" fillId="4" borderId="1" xfId="0" applyNumberFormat="1" applyFont="1" applyFill="1" applyBorder="1" applyAlignment="1">
      <alignment horizontal="right"/>
    </xf>
    <xf numFmtId="0" fontId="20" fillId="4" borderId="1" xfId="0" applyNumberFormat="1" applyFont="1" applyFill="1" applyBorder="1" applyAlignment="1">
      <alignment horizontal="center"/>
    </xf>
    <xf numFmtId="3" fontId="8" fillId="5" borderId="1" xfId="0" applyNumberFormat="1" applyFont="1" applyFill="1" applyBorder="1" applyAlignment="1">
      <alignment horizontal="right"/>
    </xf>
    <xf numFmtId="3" fontId="8" fillId="6" borderId="1" xfId="0" applyNumberFormat="1" applyFont="1" applyFill="1" applyBorder="1" applyAlignment="1">
      <alignment horizontal="right"/>
    </xf>
    <xf numFmtId="49" fontId="8" fillId="4" borderId="1" xfId="0" applyNumberFormat="1" applyFont="1" applyFill="1" applyBorder="1" applyAlignment="1"/>
    <xf numFmtId="185" fontId="9" fillId="6" borderId="1" xfId="0" applyNumberFormat="1" applyFont="1" applyFill="1" applyBorder="1" applyAlignment="1">
      <alignment horizontal="right"/>
    </xf>
    <xf numFmtId="3" fontId="20" fillId="4" borderId="1" xfId="0" applyNumberFormat="1" applyFont="1" applyFill="1" applyBorder="1" applyAlignment="1">
      <alignment horizontal="left"/>
    </xf>
    <xf numFmtId="3" fontId="20" fillId="4" borderId="1" xfId="0" applyNumberFormat="1" applyFont="1" applyFill="1" applyBorder="1" applyAlignment="1">
      <alignment horizontal="center"/>
    </xf>
    <xf numFmtId="3" fontId="4" fillId="4" borderId="1" xfId="0" applyNumberFormat="1" applyFont="1" applyFill="1" applyBorder="1" applyAlignment="1"/>
    <xf numFmtId="185" fontId="6" fillId="6" borderId="1" xfId="0" applyNumberFormat="1" applyFont="1" applyFill="1" applyBorder="1" applyAlignment="1">
      <alignment horizontal="center"/>
    </xf>
    <xf numFmtId="170" fontId="6" fillId="6" borderId="1" xfId="0" applyNumberFormat="1" applyFont="1" applyFill="1" applyBorder="1" applyAlignment="1">
      <alignment horizontal="center"/>
    </xf>
    <xf numFmtId="10" fontId="6" fillId="6" borderId="1" xfId="0" applyNumberFormat="1" applyFont="1" applyFill="1" applyBorder="1" applyAlignment="1">
      <alignment horizontal="left"/>
    </xf>
    <xf numFmtId="170" fontId="6" fillId="4" borderId="1" xfId="0" applyNumberFormat="1" applyFont="1" applyFill="1" applyBorder="1" applyAlignment="1">
      <alignment horizontal="center"/>
    </xf>
    <xf numFmtId="49" fontId="19" fillId="4" borderId="1" xfId="0" applyNumberFormat="1" applyFont="1" applyFill="1" applyBorder="1" applyAlignment="1"/>
    <xf numFmtId="2" fontId="6" fillId="5" borderId="1" xfId="0" applyNumberFormat="1" applyFont="1" applyFill="1" applyBorder="1" applyAlignment="1">
      <alignment horizontal="center"/>
    </xf>
    <xf numFmtId="49" fontId="19" fillId="4" borderId="1" xfId="0" applyNumberFormat="1" applyFont="1" applyFill="1" applyBorder="1" applyAlignment="1">
      <alignment horizontal="left"/>
    </xf>
    <xf numFmtId="4" fontId="6" fillId="4" borderId="1" xfId="0" applyNumberFormat="1" applyFont="1" applyFill="1" applyBorder="1" applyAlignment="1">
      <alignment horizontal="right"/>
    </xf>
    <xf numFmtId="186" fontId="6" fillId="5" borderId="1" xfId="0" applyNumberFormat="1" applyFont="1" applyFill="1" applyBorder="1" applyAlignment="1"/>
    <xf numFmtId="187" fontId="6" fillId="6" borderId="1" xfId="0" applyNumberFormat="1" applyFont="1" applyFill="1" applyBorder="1" applyAlignment="1">
      <alignment horizontal="left"/>
    </xf>
    <xf numFmtId="0" fontId="6" fillId="5" borderId="1" xfId="0" applyNumberFormat="1" applyFont="1" applyFill="1" applyBorder="1" applyAlignment="1"/>
    <xf numFmtId="0" fontId="6" fillId="5" borderId="1" xfId="0" applyNumberFormat="1" applyFont="1" applyFill="1" applyBorder="1" applyAlignment="1">
      <alignment horizontal="right"/>
    </xf>
    <xf numFmtId="4" fontId="6" fillId="6" borderId="1" xfId="0" applyNumberFormat="1" applyFont="1" applyFill="1" applyBorder="1" applyAlignment="1">
      <alignment horizontal="right"/>
    </xf>
    <xf numFmtId="188" fontId="6" fillId="4" borderId="1" xfId="0" applyNumberFormat="1" applyFont="1" applyFill="1" applyBorder="1" applyAlignment="1">
      <alignment horizontal="center"/>
    </xf>
    <xf numFmtId="0" fontId="14" fillId="4" borderId="1" xfId="0" applyNumberFormat="1" applyFont="1" applyFill="1" applyBorder="1" applyAlignment="1">
      <alignment horizontal="right"/>
    </xf>
    <xf numFmtId="186" fontId="6" fillId="4" borderId="1" xfId="0" applyNumberFormat="1" applyFont="1" applyFill="1" applyBorder="1" applyAlignment="1"/>
    <xf numFmtId="49" fontId="17" fillId="4" borderId="1" xfId="0" applyNumberFormat="1" applyFont="1" applyFill="1" applyBorder="1" applyAlignment="1"/>
    <xf numFmtId="186" fontId="6" fillId="5" borderId="1" xfId="0" applyNumberFormat="1" applyFont="1" applyFill="1" applyBorder="1" applyAlignment="1">
      <alignment horizontal="center"/>
    </xf>
    <xf numFmtId="186" fontId="6" fillId="6" borderId="1" xfId="0" applyNumberFormat="1" applyFont="1" applyFill="1" applyBorder="1" applyAlignment="1">
      <alignment horizontal="center"/>
    </xf>
    <xf numFmtId="186" fontId="6" fillId="4" borderId="1" xfId="0" applyNumberFormat="1" applyFont="1" applyFill="1" applyBorder="1" applyAlignment="1">
      <alignment horizontal="center"/>
    </xf>
    <xf numFmtId="186" fontId="10" fillId="6" borderId="1" xfId="0" applyNumberFormat="1" applyFont="1" applyFill="1" applyBorder="1" applyAlignment="1"/>
    <xf numFmtId="186" fontId="6" fillId="4" borderId="1" xfId="0" applyNumberFormat="1" applyFont="1" applyFill="1" applyBorder="1" applyAlignment="1">
      <alignment horizontal="left"/>
    </xf>
    <xf numFmtId="186" fontId="10" fillId="4" borderId="1" xfId="0" applyNumberFormat="1" applyFont="1" applyFill="1" applyBorder="1" applyAlignment="1"/>
    <xf numFmtId="0" fontId="21" fillId="4" borderId="1" xfId="0" applyNumberFormat="1" applyFont="1" applyFill="1" applyBorder="1" applyAlignment="1">
      <alignment horizontal="center"/>
    </xf>
    <xf numFmtId="0" fontId="21" fillId="4" borderId="1" xfId="0" applyNumberFormat="1" applyFont="1" applyFill="1" applyBorder="1" applyAlignment="1"/>
    <xf numFmtId="174" fontId="6" fillId="6" borderId="1" xfId="0" applyNumberFormat="1" applyFont="1" applyFill="1" applyBorder="1" applyAlignment="1">
      <alignment horizontal="center"/>
    </xf>
    <xf numFmtId="189" fontId="6" fillId="6" borderId="1" xfId="0" applyNumberFormat="1" applyFont="1" applyFill="1" applyBorder="1" applyAlignment="1">
      <alignment horizontal="right"/>
    </xf>
    <xf numFmtId="190" fontId="6" fillId="6" borderId="1" xfId="0" applyNumberFormat="1" applyFont="1" applyFill="1" applyBorder="1" applyAlignment="1">
      <alignment horizontal="right"/>
    </xf>
    <xf numFmtId="190" fontId="6" fillId="4" borderId="1" xfId="0" applyNumberFormat="1" applyFont="1" applyFill="1" applyBorder="1" applyAlignment="1">
      <alignment horizontal="right"/>
    </xf>
    <xf numFmtId="0" fontId="6" fillId="4" borderId="1" xfId="0" applyFont="1" applyFill="1" applyBorder="1" applyAlignment="1">
      <alignment horizontal="center"/>
    </xf>
    <xf numFmtId="2" fontId="6" fillId="6" borderId="1" xfId="0" applyNumberFormat="1" applyFont="1" applyFill="1" applyBorder="1" applyAlignment="1">
      <alignment horizontal="center"/>
    </xf>
    <xf numFmtId="169" fontId="6" fillId="5" borderId="1" xfId="0" applyNumberFormat="1" applyFont="1" applyFill="1" applyBorder="1" applyAlignment="1">
      <alignment horizontal="center"/>
    </xf>
    <xf numFmtId="191" fontId="6" fillId="5" borderId="1" xfId="0" applyNumberFormat="1" applyFont="1" applyFill="1" applyBorder="1" applyAlignment="1">
      <alignment horizontal="center"/>
    </xf>
    <xf numFmtId="0" fontId="6" fillId="6" borderId="1" xfId="0" applyFont="1" applyFill="1" applyBorder="1" applyAlignment="1">
      <alignment horizontal="center"/>
    </xf>
    <xf numFmtId="191" fontId="6" fillId="4" borderId="1" xfId="0" applyNumberFormat="1" applyFont="1" applyFill="1" applyBorder="1" applyAlignment="1">
      <alignment horizontal="center"/>
    </xf>
    <xf numFmtId="49" fontId="22" fillId="4" borderId="1" xfId="0" applyNumberFormat="1" applyFont="1" applyFill="1" applyBorder="1" applyAlignment="1">
      <alignment horizontal="center"/>
    </xf>
    <xf numFmtId="0" fontId="9" fillId="4" borderId="1" xfId="0" applyNumberFormat="1" applyFont="1" applyFill="1" applyBorder="1" applyAlignment="1">
      <alignment horizontal="center"/>
    </xf>
    <xf numFmtId="0" fontId="10" fillId="5" borderId="1" xfId="0" applyNumberFormat="1" applyFont="1" applyFill="1" applyBorder="1" applyAlignment="1">
      <alignment horizontal="center"/>
    </xf>
    <xf numFmtId="192" fontId="10" fillId="5" borderId="1" xfId="0" applyNumberFormat="1" applyFont="1" applyFill="1" applyBorder="1" applyAlignment="1">
      <alignment horizontal="center"/>
    </xf>
    <xf numFmtId="192" fontId="10" fillId="6" borderId="1" xfId="0" applyNumberFormat="1" applyFont="1" applyFill="1" applyBorder="1" applyAlignment="1">
      <alignment horizontal="center"/>
    </xf>
    <xf numFmtId="49" fontId="23" fillId="4" borderId="1" xfId="0" applyNumberFormat="1" applyFont="1" applyFill="1" applyBorder="1" applyAlignment="1">
      <alignment horizontal="left"/>
    </xf>
    <xf numFmtId="192" fontId="8" fillId="4" borderId="1" xfId="0" applyNumberFormat="1" applyFont="1" applyFill="1" applyBorder="1" applyAlignment="1">
      <alignment horizontal="left"/>
    </xf>
    <xf numFmtId="49" fontId="22" fillId="4" borderId="1" xfId="0" applyNumberFormat="1" applyFont="1" applyFill="1" applyBorder="1" applyAlignment="1"/>
    <xf numFmtId="3" fontId="10" fillId="5" borderId="1" xfId="0" applyNumberFormat="1" applyFont="1" applyFill="1" applyBorder="1" applyAlignment="1">
      <alignment horizontal="center"/>
    </xf>
    <xf numFmtId="0" fontId="10" fillId="6" borderId="1" xfId="0" applyNumberFormat="1" applyFont="1" applyFill="1" applyBorder="1" applyAlignment="1">
      <alignment horizontal="center"/>
    </xf>
    <xf numFmtId="0" fontId="10" fillId="4" borderId="1" xfId="0" applyNumberFormat="1" applyFont="1" applyFill="1" applyBorder="1" applyAlignment="1">
      <alignment horizontal="left"/>
    </xf>
    <xf numFmtId="49" fontId="24" fillId="4" borderId="1" xfId="0" applyNumberFormat="1" applyFont="1" applyFill="1" applyBorder="1" applyAlignment="1"/>
    <xf numFmtId="0" fontId="25" fillId="4" borderId="1" xfId="0" applyNumberFormat="1" applyFont="1" applyFill="1" applyBorder="1" applyAlignment="1"/>
    <xf numFmtId="49" fontId="26" fillId="4" borderId="1" xfId="0" applyNumberFormat="1" applyFont="1" applyFill="1" applyBorder="1" applyAlignment="1"/>
    <xf numFmtId="0" fontId="25" fillId="4" borderId="1" xfId="0" applyNumberFormat="1" applyFont="1" applyFill="1" applyBorder="1" applyAlignment="1">
      <alignment horizontal="right"/>
    </xf>
    <xf numFmtId="0" fontId="27" fillId="4" borderId="1" xfId="0" applyNumberFormat="1" applyFont="1" applyFill="1" applyBorder="1" applyAlignment="1"/>
    <xf numFmtId="49" fontId="25" fillId="4" borderId="1" xfId="0" applyNumberFormat="1" applyFont="1" applyFill="1" applyBorder="1" applyAlignment="1"/>
    <xf numFmtId="49" fontId="28" fillId="4" borderId="1" xfId="0" applyNumberFormat="1" applyFont="1" applyFill="1" applyBorder="1" applyAlignment="1">
      <alignment horizontal="left"/>
    </xf>
    <xf numFmtId="49" fontId="29" fillId="4" borderId="1" xfId="0" applyNumberFormat="1" applyFont="1" applyFill="1" applyBorder="1" applyAlignment="1">
      <alignment horizontal="left"/>
    </xf>
    <xf numFmtId="49" fontId="29" fillId="4" borderId="1" xfId="0" applyNumberFormat="1" applyFont="1" applyFill="1" applyBorder="1" applyAlignment="1"/>
    <xf numFmtId="49" fontId="22" fillId="4" borderId="1" xfId="0" applyNumberFormat="1" applyFont="1" applyFill="1" applyBorder="1" applyAlignment="1">
      <alignment horizontal="left"/>
    </xf>
    <xf numFmtId="186" fontId="10" fillId="4" borderId="1" xfId="0" applyNumberFormat="1" applyFont="1" applyFill="1" applyBorder="1" applyAlignment="1">
      <alignment horizontal="center"/>
    </xf>
    <xf numFmtId="0" fontId="30" fillId="4" borderId="1" xfId="0" applyNumberFormat="1" applyFont="1" applyFill="1" applyBorder="1" applyAlignment="1">
      <alignment horizontal="center"/>
    </xf>
    <xf numFmtId="49" fontId="10" fillId="4" borderId="1" xfId="0" applyNumberFormat="1" applyFont="1" applyFill="1" applyBorder="1" applyAlignment="1">
      <alignment horizontal="left"/>
    </xf>
    <xf numFmtId="49" fontId="10" fillId="4" borderId="1" xfId="0" applyNumberFormat="1" applyFont="1" applyFill="1" applyBorder="1" applyAlignment="1">
      <alignment horizontal="right"/>
    </xf>
    <xf numFmtId="0" fontId="10" fillId="4" borderId="1" xfId="0" applyNumberFormat="1" applyFont="1" applyFill="1" applyBorder="1" applyAlignment="1">
      <alignment horizontal="center"/>
    </xf>
    <xf numFmtId="49" fontId="31" fillId="4" borderId="1" xfId="0" applyNumberFormat="1" applyFont="1" applyFill="1" applyBorder="1" applyAlignment="1"/>
    <xf numFmtId="0" fontId="1" fillId="0" borderId="0" xfId="0" applyFont="1" applyAlignment="1">
      <alignment wrapText="1"/>
    </xf>
    <xf numFmtId="0" fontId="0" fillId="0" borderId="0" xfId="0" applyFont="1" applyAlignment="1"/>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FEFB00"/>
      <rgbColor rgb="FF3366FF"/>
      <rgbColor rgb="FF0000D4"/>
      <rgbColor rgb="FFDD0806"/>
      <rgbColor rgb="FFFF2600"/>
      <rgbColor rgb="FF61E1EB"/>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x-rates.com/calculato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showGridLines="0" workbookViewId="0">
      <selection activeCell="D10" sqref="D10"/>
    </sheetView>
  </sheetViews>
  <sheetFormatPr baseColWidth="10" defaultColWidth="10" defaultRowHeight="13" customHeight="1" x14ac:dyDescent="0.2"/>
  <cols>
    <col min="1" max="1" width="2" customWidth="1"/>
    <col min="2" max="4" width="33.5703125" customWidth="1"/>
  </cols>
  <sheetData>
    <row r="3" spans="2:4" ht="50" customHeight="1" x14ac:dyDescent="0.2">
      <c r="B3" s="204" t="s">
        <v>0</v>
      </c>
      <c r="C3" s="205"/>
      <c r="D3" s="205"/>
    </row>
    <row r="7" spans="2:4" ht="19" x14ac:dyDescent="0.25">
      <c r="B7" s="1" t="s">
        <v>1</v>
      </c>
      <c r="C7" s="1" t="s">
        <v>2</v>
      </c>
      <c r="D7" s="1" t="s">
        <v>3</v>
      </c>
    </row>
    <row r="9" spans="2:4" ht="16" x14ac:dyDescent="0.2">
      <c r="B9" s="2" t="s">
        <v>4</v>
      </c>
      <c r="C9" s="2"/>
      <c r="D9" s="2"/>
    </row>
    <row r="10" spans="2:4" ht="16" x14ac:dyDescent="0.2">
      <c r="B10" s="3"/>
      <c r="C10" s="3" t="s">
        <v>5</v>
      </c>
      <c r="D10" s="4" t="s">
        <v>4</v>
      </c>
    </row>
  </sheetData>
  <mergeCells count="1">
    <mergeCell ref="B3:D3"/>
  </mergeCells>
  <hyperlinks>
    <hyperlink ref="D10" location="'Conversion Calculator.xls'!R1C1" display="Conversion Calculator.xl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tabSelected="1" defaultGridColor="0" colorId="8" workbookViewId="0">
      <selection activeCell="E3" sqref="E3"/>
    </sheetView>
  </sheetViews>
  <sheetFormatPr baseColWidth="10" defaultColWidth="8.7109375" defaultRowHeight="12" customHeight="1" x14ac:dyDescent="0.2"/>
  <cols>
    <col min="1" max="1" width="28" style="5" customWidth="1"/>
    <col min="2" max="2" width="20.7109375" style="5" customWidth="1"/>
    <col min="3" max="3" width="24.85546875" style="5" customWidth="1"/>
    <col min="4" max="4" width="36.42578125" style="5" customWidth="1"/>
    <col min="5" max="5" width="26.7109375" style="5" customWidth="1"/>
    <col min="6" max="6" width="23.5703125" style="5" customWidth="1"/>
    <col min="7" max="7" width="14.85546875" style="5" customWidth="1"/>
    <col min="8" max="8" width="18.85546875" style="5" customWidth="1"/>
    <col min="9" max="9" width="21.42578125" style="5" customWidth="1"/>
    <col min="10" max="10" width="16.85546875" style="5" customWidth="1"/>
    <col min="11" max="11" width="16.140625" style="5" customWidth="1"/>
    <col min="12" max="12" width="13" style="5" customWidth="1"/>
    <col min="13" max="15" width="10" style="5" customWidth="1"/>
    <col min="16" max="256" width="8.7109375" customWidth="1"/>
  </cols>
  <sheetData>
    <row r="1" spans="1:13" s="6" customFormat="1" ht="23" customHeight="1" x14ac:dyDescent="0.25">
      <c r="A1" s="7" t="s">
        <v>6</v>
      </c>
      <c r="B1" s="8"/>
      <c r="D1" s="9" t="s">
        <v>7</v>
      </c>
      <c r="E1" s="10"/>
      <c r="G1" s="11">
        <v>41329</v>
      </c>
      <c r="H1" s="12" t="s">
        <v>8</v>
      </c>
      <c r="I1" s="13" t="s">
        <v>9</v>
      </c>
      <c r="J1" s="14" t="s">
        <v>10</v>
      </c>
      <c r="K1" s="10"/>
      <c r="M1" s="15"/>
    </row>
    <row r="2" spans="1:13" s="6" customFormat="1" ht="18" customHeight="1" x14ac:dyDescent="0.2">
      <c r="A2" s="16"/>
      <c r="C2" s="17" t="s">
        <v>11</v>
      </c>
      <c r="D2" s="18" t="s">
        <v>12</v>
      </c>
      <c r="F2" s="19" t="s">
        <v>13</v>
      </c>
      <c r="G2" s="20"/>
      <c r="M2" s="15"/>
    </row>
    <row r="3" spans="1:13" s="6" customFormat="1" ht="18" customHeight="1" x14ac:dyDescent="0.2">
      <c r="A3" s="203" t="s">
        <v>14</v>
      </c>
      <c r="B3" s="22"/>
      <c r="D3" s="23"/>
      <c r="F3" s="24" t="s">
        <v>15</v>
      </c>
      <c r="G3" s="19" t="s">
        <v>16</v>
      </c>
      <c r="H3" s="15"/>
      <c r="K3" s="15"/>
      <c r="L3" s="15"/>
      <c r="M3" s="15"/>
    </row>
    <row r="4" spans="1:13" s="25" customFormat="1" ht="16.5" customHeight="1" x14ac:dyDescent="0.2">
      <c r="A4" s="26" t="s">
        <v>17</v>
      </c>
      <c r="B4" s="8"/>
      <c r="C4" s="8"/>
      <c r="D4" s="26" t="s">
        <v>17</v>
      </c>
      <c r="E4" s="8"/>
      <c r="F4" s="15"/>
      <c r="G4" s="27"/>
      <c r="H4" s="27"/>
      <c r="I4" s="28"/>
      <c r="J4" s="29" t="s">
        <v>18</v>
      </c>
      <c r="K4" s="15"/>
      <c r="L4" s="15"/>
      <c r="M4" s="15"/>
    </row>
    <row r="5" spans="1:13" s="25" customFormat="1" ht="16.5" customHeight="1" x14ac:dyDescent="0.2">
      <c r="A5" s="30" t="s">
        <v>19</v>
      </c>
      <c r="B5" s="30" t="s">
        <v>20</v>
      </c>
      <c r="C5" s="30" t="s">
        <v>21</v>
      </c>
      <c r="D5" s="30" t="s">
        <v>22</v>
      </c>
      <c r="E5" s="30" t="s">
        <v>23</v>
      </c>
      <c r="F5" s="30" t="s">
        <v>24</v>
      </c>
      <c r="G5" s="30" t="s">
        <v>25</v>
      </c>
      <c r="H5" s="30" t="s">
        <v>26</v>
      </c>
      <c r="I5" s="30" t="s">
        <v>27</v>
      </c>
      <c r="J5" s="30" t="s">
        <v>28</v>
      </c>
      <c r="K5" s="30" t="s">
        <v>29</v>
      </c>
      <c r="L5" s="30" t="s">
        <v>30</v>
      </c>
      <c r="M5" s="31"/>
    </row>
    <row r="6" spans="1:13" s="25" customFormat="1" ht="16.5" customHeight="1" x14ac:dyDescent="0.2">
      <c r="A6" s="32"/>
      <c r="B6" s="33">
        <f t="shared" ref="B6:L6" si="0">$A$6-(B8/24)</f>
        <v>-0.125</v>
      </c>
      <c r="C6" s="33">
        <f t="shared" si="0"/>
        <v>-0.16666666666666666</v>
      </c>
      <c r="D6" s="33">
        <f t="shared" si="0"/>
        <v>-0.29166666666666669</v>
      </c>
      <c r="E6" s="33">
        <f t="shared" si="0"/>
        <v>-0.41666666666666669</v>
      </c>
      <c r="F6" s="33">
        <f t="shared" si="0"/>
        <v>-0.41666666666666669</v>
      </c>
      <c r="G6" s="33">
        <f t="shared" si="0"/>
        <v>-0.5</v>
      </c>
      <c r="H6" s="33">
        <f t="shared" si="0"/>
        <v>-0.70833333333333337</v>
      </c>
      <c r="I6" s="33">
        <f t="shared" si="0"/>
        <v>-0.70833333333333337</v>
      </c>
      <c r="J6" s="33">
        <f t="shared" si="0"/>
        <v>-0.75</v>
      </c>
      <c r="K6" s="33">
        <f t="shared" si="0"/>
        <v>-0.79166666666666663</v>
      </c>
      <c r="L6" s="33">
        <f t="shared" si="0"/>
        <v>-0.91666666666666663</v>
      </c>
      <c r="M6" s="34"/>
    </row>
    <row r="7" spans="1:13" s="35" customFormat="1" ht="16.5" customHeight="1" x14ac:dyDescent="0.15">
      <c r="A7" s="36">
        <f t="shared" ref="A7:J40" ca="1" si="1">NOW()</f>
        <v>41329.47848888889</v>
      </c>
      <c r="B7" s="36">
        <f t="shared" ref="B7:L7" ca="1" si="2">$A$7-(B8/24)</f>
        <v>41329.35348888889</v>
      </c>
      <c r="C7" s="36">
        <f t="shared" ca="1" si="2"/>
        <v>41329.311822222226</v>
      </c>
      <c r="D7" s="36">
        <f t="shared" ca="1" si="2"/>
        <v>41329.186822222226</v>
      </c>
      <c r="E7" s="36">
        <f t="shared" ca="1" si="2"/>
        <v>41329.061822222226</v>
      </c>
      <c r="F7" s="36">
        <f t="shared" ca="1" si="2"/>
        <v>41329.061822222226</v>
      </c>
      <c r="G7" s="36">
        <f t="shared" ca="1" si="2"/>
        <v>41328.97848888889</v>
      </c>
      <c r="H7" s="36">
        <f t="shared" ca="1" si="2"/>
        <v>41328.770155555554</v>
      </c>
      <c r="I7" s="36">
        <f t="shared" ca="1" si="2"/>
        <v>41328.770155555554</v>
      </c>
      <c r="J7" s="36">
        <f t="shared" ca="1" si="2"/>
        <v>41328.72848888889</v>
      </c>
      <c r="K7" s="36">
        <f t="shared" ca="1" si="2"/>
        <v>41328.686822222226</v>
      </c>
      <c r="L7" s="36">
        <f t="shared" ca="1" si="2"/>
        <v>41328.561822222226</v>
      </c>
      <c r="M7" s="37"/>
    </row>
    <row r="8" spans="1:13" s="25" customFormat="1" ht="16.5" customHeight="1" x14ac:dyDescent="0.2">
      <c r="A8" s="38" t="s">
        <v>31</v>
      </c>
      <c r="B8" s="8">
        <v>3</v>
      </c>
      <c r="C8" s="8">
        <v>4</v>
      </c>
      <c r="D8" s="8">
        <v>7</v>
      </c>
      <c r="E8" s="8">
        <v>10</v>
      </c>
      <c r="F8" s="8">
        <v>10</v>
      </c>
      <c r="G8" s="8">
        <v>12</v>
      </c>
      <c r="H8" s="8">
        <v>17</v>
      </c>
      <c r="I8" s="8">
        <v>17</v>
      </c>
      <c r="J8" s="8">
        <v>18</v>
      </c>
      <c r="K8" s="8">
        <v>19</v>
      </c>
      <c r="L8" s="8">
        <v>22</v>
      </c>
      <c r="M8" s="39"/>
    </row>
    <row r="9" spans="1:13" s="6" customFormat="1" ht="16.5" customHeight="1" x14ac:dyDescent="0.2">
      <c r="A9" s="38" t="s">
        <v>32</v>
      </c>
      <c r="B9" s="40" t="s">
        <v>33</v>
      </c>
      <c r="C9" s="8"/>
      <c r="D9" s="22"/>
      <c r="E9" s="8"/>
      <c r="F9" s="8"/>
      <c r="G9" s="8"/>
      <c r="I9" s="8"/>
      <c r="J9" s="8"/>
      <c r="K9" s="8"/>
      <c r="L9" s="8"/>
      <c r="M9" s="8"/>
    </row>
    <row r="10" spans="1:13" s="25" customFormat="1" ht="16.5" customHeight="1" x14ac:dyDescent="0.2">
      <c r="A10" s="26" t="s">
        <v>34</v>
      </c>
      <c r="B10" s="41"/>
      <c r="C10" s="42"/>
      <c r="D10" s="26" t="s">
        <v>34</v>
      </c>
      <c r="F10" s="42"/>
      <c r="G10" s="15"/>
      <c r="H10" s="15"/>
      <c r="I10" s="26" t="s">
        <v>34</v>
      </c>
    </row>
    <row r="11" spans="1:13" s="25" customFormat="1" ht="16.5" customHeight="1" x14ac:dyDescent="0.2">
      <c r="A11" s="30" t="s">
        <v>19</v>
      </c>
      <c r="B11" s="30" t="s">
        <v>20</v>
      </c>
      <c r="C11" s="30" t="s">
        <v>21</v>
      </c>
      <c r="D11" s="30" t="s">
        <v>22</v>
      </c>
      <c r="E11" s="30" t="s">
        <v>23</v>
      </c>
      <c r="F11" s="30" t="s">
        <v>24</v>
      </c>
      <c r="G11" s="30" t="s">
        <v>25</v>
      </c>
      <c r="H11" s="26" t="s">
        <v>35</v>
      </c>
      <c r="I11" s="30" t="s">
        <v>36</v>
      </c>
      <c r="J11" s="30" t="s">
        <v>28</v>
      </c>
      <c r="K11" s="30" t="s">
        <v>29</v>
      </c>
      <c r="L11" s="30" t="s">
        <v>30</v>
      </c>
      <c r="M11" s="42"/>
    </row>
    <row r="12" spans="1:13" s="25" customFormat="1" ht="16.5" customHeight="1" x14ac:dyDescent="0.2">
      <c r="A12" s="43">
        <f t="shared" ca="1" si="1"/>
        <v>41329.47848888889</v>
      </c>
      <c r="B12" s="43">
        <f ca="1">$A$12-(B14/24)</f>
        <v>41329.311822222226</v>
      </c>
      <c r="C12" s="43">
        <f ca="1">$A$12-(C14/24)</f>
        <v>41329.270155555554</v>
      </c>
      <c r="D12" s="43">
        <f ca="1">$A$12-(D14/24)</f>
        <v>41329.145155555554</v>
      </c>
      <c r="E12" s="43">
        <f ca="1">$A$12-(F14/24)</f>
        <v>41329.020155555554</v>
      </c>
      <c r="F12" s="43">
        <f t="shared" ref="F12:L12" ca="1" si="3">$A$12-(F14/24)</f>
        <v>41329.020155555554</v>
      </c>
      <c r="G12" s="43">
        <f t="shared" ca="1" si="3"/>
        <v>41328.936822222226</v>
      </c>
      <c r="H12" s="43">
        <f t="shared" ca="1" si="3"/>
        <v>41328.72848888889</v>
      </c>
      <c r="I12" s="43">
        <f t="shared" ca="1" si="3"/>
        <v>41328.72848888889</v>
      </c>
      <c r="J12" s="43">
        <f t="shared" ca="1" si="3"/>
        <v>41328.686822222226</v>
      </c>
      <c r="K12" s="43">
        <f t="shared" ca="1" si="3"/>
        <v>41328.645155555554</v>
      </c>
      <c r="L12" s="43">
        <f t="shared" ca="1" si="3"/>
        <v>41328.520155555554</v>
      </c>
      <c r="M12" s="8"/>
    </row>
    <row r="13" spans="1:13" s="35" customFormat="1" ht="16.5" customHeight="1" x14ac:dyDescent="0.15">
      <c r="A13" s="36">
        <f t="shared" ca="1" si="1"/>
        <v>41329.47848888889</v>
      </c>
      <c r="B13" s="36">
        <f t="shared" ref="B13:L13" ca="1" si="4">$A$13-(B14/24)</f>
        <v>41329.311822222226</v>
      </c>
      <c r="C13" s="36">
        <f t="shared" ca="1" si="4"/>
        <v>41329.270155555554</v>
      </c>
      <c r="D13" s="36">
        <f t="shared" ca="1" si="4"/>
        <v>41329.145155555554</v>
      </c>
      <c r="E13" s="36">
        <f t="shared" ca="1" si="4"/>
        <v>41329.020155555554</v>
      </c>
      <c r="F13" s="36">
        <f t="shared" ca="1" si="4"/>
        <v>41329.020155555554</v>
      </c>
      <c r="G13" s="36">
        <f t="shared" ca="1" si="4"/>
        <v>41328.936822222226</v>
      </c>
      <c r="H13" s="36">
        <f t="shared" ca="1" si="4"/>
        <v>41328.72848888889</v>
      </c>
      <c r="I13" s="36">
        <f t="shared" ca="1" si="4"/>
        <v>41328.72848888889</v>
      </c>
      <c r="J13" s="36">
        <f t="shared" ca="1" si="4"/>
        <v>41328.686822222226</v>
      </c>
      <c r="K13" s="36">
        <f t="shared" ca="1" si="4"/>
        <v>41328.645155555554</v>
      </c>
      <c r="L13" s="36">
        <f t="shared" ca="1" si="4"/>
        <v>41328.520155555554</v>
      </c>
      <c r="M13" s="37"/>
    </row>
    <row r="14" spans="1:13" s="25" customFormat="1" ht="16.5" customHeight="1" x14ac:dyDescent="0.2">
      <c r="A14" s="38" t="str">
        <f>A8</f>
        <v>Hours behind NZ</v>
      </c>
      <c r="B14" s="8">
        <v>4</v>
      </c>
      <c r="C14" s="8">
        <v>5</v>
      </c>
      <c r="D14" s="8">
        <v>8</v>
      </c>
      <c r="E14" s="8">
        <v>11</v>
      </c>
      <c r="F14" s="8">
        <v>11</v>
      </c>
      <c r="G14" s="8">
        <v>13</v>
      </c>
      <c r="H14" s="8">
        <v>18</v>
      </c>
      <c r="I14" s="8">
        <v>18</v>
      </c>
      <c r="J14" s="8">
        <v>19</v>
      </c>
      <c r="K14" s="8">
        <v>20</v>
      </c>
      <c r="L14" s="8">
        <v>23</v>
      </c>
      <c r="M14" s="15"/>
    </row>
    <row r="15" spans="1:13" s="6" customFormat="1" ht="16.5" customHeight="1" x14ac:dyDescent="0.2">
      <c r="A15" s="15"/>
      <c r="B15" s="8"/>
      <c r="C15" s="15"/>
      <c r="D15" s="15"/>
      <c r="E15" s="15"/>
      <c r="F15" s="15"/>
      <c r="G15" s="15"/>
      <c r="H15" s="15"/>
      <c r="I15" s="15"/>
      <c r="J15" s="15"/>
      <c r="K15" s="15"/>
      <c r="L15" s="15"/>
      <c r="M15" s="15"/>
    </row>
    <row r="16" spans="1:13" s="6" customFormat="1" ht="16.5" customHeight="1" x14ac:dyDescent="0.2">
      <c r="A16" s="30" t="s">
        <v>37</v>
      </c>
      <c r="B16" s="44">
        <v>0.15</v>
      </c>
      <c r="C16" s="40" t="s">
        <v>38</v>
      </c>
      <c r="D16" s="8">
        <v>1.1499999999999999</v>
      </c>
      <c r="E16" s="45"/>
      <c r="F16" s="15"/>
      <c r="G16" s="15"/>
      <c r="H16" s="15"/>
      <c r="I16" s="15"/>
      <c r="J16" s="15"/>
      <c r="K16" s="15"/>
      <c r="L16" s="15"/>
      <c r="M16" s="15"/>
    </row>
    <row r="17" spans="1:14" s="6" customFormat="1" ht="16.5" customHeight="1" x14ac:dyDescent="0.2">
      <c r="A17" s="26" t="s">
        <v>39</v>
      </c>
      <c r="B17" s="29" t="s">
        <v>40</v>
      </c>
      <c r="C17" s="15"/>
      <c r="D17" s="15"/>
      <c r="E17" s="15"/>
      <c r="F17" s="15"/>
      <c r="G17" s="21" t="s">
        <v>41</v>
      </c>
      <c r="H17" s="15"/>
      <c r="I17" s="42"/>
      <c r="J17" s="15"/>
      <c r="K17" s="15"/>
      <c r="L17" s="15"/>
      <c r="M17" s="15"/>
    </row>
    <row r="18" spans="1:14" s="6" customFormat="1" ht="16.5" customHeight="1" x14ac:dyDescent="0.2">
      <c r="A18" s="46" t="s">
        <v>42</v>
      </c>
      <c r="B18" s="15"/>
      <c r="C18" s="8">
        <v>2.2046000000000001</v>
      </c>
      <c r="D18" s="38" t="s">
        <v>43</v>
      </c>
      <c r="E18" s="8">
        <v>2.4710999999999999</v>
      </c>
      <c r="F18" s="40" t="s">
        <v>44</v>
      </c>
      <c r="G18" s="38" t="s">
        <v>45</v>
      </c>
      <c r="H18" s="22">
        <v>25.4</v>
      </c>
      <c r="I18" s="15"/>
      <c r="J18" s="15"/>
      <c r="K18" s="15"/>
      <c r="L18" s="15"/>
      <c r="M18" s="22"/>
    </row>
    <row r="19" spans="1:14" s="6" customFormat="1" ht="16.5" customHeight="1" x14ac:dyDescent="0.2">
      <c r="A19" s="47" t="s">
        <v>46</v>
      </c>
      <c r="B19" s="30" t="s">
        <v>47</v>
      </c>
      <c r="C19" s="48" t="s">
        <v>48</v>
      </c>
      <c r="D19" s="8"/>
      <c r="E19" s="47" t="s">
        <v>49</v>
      </c>
      <c r="F19" s="47" t="s">
        <v>48</v>
      </c>
      <c r="G19" s="49" t="s">
        <v>50</v>
      </c>
      <c r="H19" s="15"/>
      <c r="I19" s="50"/>
      <c r="J19" s="8"/>
      <c r="K19" s="8"/>
      <c r="L19" s="8"/>
      <c r="M19" s="22"/>
    </row>
    <row r="20" spans="1:14" s="6" customFormat="1" ht="16.5" customHeight="1" x14ac:dyDescent="0.2">
      <c r="A20" s="51">
        <v>8</v>
      </c>
      <c r="B20" s="40" t="s">
        <v>51</v>
      </c>
      <c r="C20" s="52">
        <f>25.4*A20/10</f>
        <v>20.32</v>
      </c>
      <c r="D20" s="40" t="s">
        <v>52</v>
      </c>
      <c r="E20" s="38" t="s">
        <v>53</v>
      </c>
      <c r="F20" s="53" t="s">
        <v>54</v>
      </c>
      <c r="G20" s="40" t="s">
        <v>55</v>
      </c>
      <c r="H20" s="15"/>
      <c r="I20" s="40" t="s">
        <v>56</v>
      </c>
      <c r="J20" s="15"/>
      <c r="K20" s="15"/>
      <c r="L20" s="15"/>
      <c r="M20" s="22"/>
    </row>
    <row r="21" spans="1:14" s="6" customFormat="1" ht="16.5" customHeight="1" x14ac:dyDescent="0.2">
      <c r="A21" s="51">
        <v>1000</v>
      </c>
      <c r="B21" s="40" t="s">
        <v>57</v>
      </c>
      <c r="C21" s="54">
        <f>0.3937*A21</f>
        <v>393.7</v>
      </c>
      <c r="D21" s="40" t="s">
        <v>58</v>
      </c>
      <c r="E21" s="55">
        <v>6</v>
      </c>
      <c r="F21" s="56">
        <f>10000/1000/E21</f>
        <v>1.6666666666666667</v>
      </c>
      <c r="G21" s="40" t="s">
        <v>59</v>
      </c>
      <c r="H21" s="15"/>
      <c r="I21" s="40" t="s">
        <v>60</v>
      </c>
      <c r="J21" s="15"/>
      <c r="K21" s="15"/>
      <c r="L21" s="15"/>
      <c r="M21" s="15"/>
    </row>
    <row r="22" spans="1:14" s="6" customFormat="1" ht="16.5" customHeight="1" x14ac:dyDescent="0.2">
      <c r="A22" s="51">
        <v>150</v>
      </c>
      <c r="B22" s="40" t="s">
        <v>61</v>
      </c>
      <c r="C22" s="54">
        <f>A22*0.03937</f>
        <v>5.9055</v>
      </c>
      <c r="D22" s="40" t="s">
        <v>58</v>
      </c>
      <c r="E22" s="53" t="s">
        <v>62</v>
      </c>
      <c r="F22" s="40" t="s">
        <v>63</v>
      </c>
      <c r="G22" s="40" t="s">
        <v>64</v>
      </c>
      <c r="H22" s="15"/>
      <c r="I22" s="40" t="s">
        <v>65</v>
      </c>
      <c r="J22" s="15"/>
      <c r="K22" s="15"/>
      <c r="L22" s="15"/>
      <c r="M22" s="15"/>
    </row>
    <row r="23" spans="1:14" s="6" customFormat="1" ht="16.5" customHeight="1" x14ac:dyDescent="0.2">
      <c r="A23" s="51">
        <v>1</v>
      </c>
      <c r="B23" s="40" t="s">
        <v>66</v>
      </c>
      <c r="C23" s="57">
        <f>39.37*A23/36</f>
        <v>1.0936111111111111</v>
      </c>
      <c r="D23" s="40" t="s">
        <v>67</v>
      </c>
      <c r="E23" s="58">
        <v>50</v>
      </c>
      <c r="F23" s="59">
        <f>1.6093*E23</f>
        <v>80.465000000000003</v>
      </c>
      <c r="G23" s="40" t="s">
        <v>68</v>
      </c>
      <c r="H23" s="15"/>
      <c r="I23" s="15"/>
      <c r="J23" s="15"/>
      <c r="K23" s="15"/>
      <c r="L23" s="15"/>
      <c r="M23" s="22"/>
    </row>
    <row r="24" spans="1:14" s="6" customFormat="1" ht="16.5" customHeight="1" x14ac:dyDescent="0.2">
      <c r="A24" s="51">
        <v>0.5</v>
      </c>
      <c r="B24" s="40" t="s">
        <v>66</v>
      </c>
      <c r="C24" s="60">
        <f>39.37*A24/36</f>
        <v>0.54680555555555554</v>
      </c>
      <c r="D24" s="40" t="s">
        <v>67</v>
      </c>
      <c r="E24" s="61">
        <f>C24/12</f>
        <v>4.5567129629629631E-2</v>
      </c>
      <c r="F24" s="40" t="s">
        <v>69</v>
      </c>
      <c r="G24" s="53" t="s">
        <v>70</v>
      </c>
      <c r="H24" s="53" t="s">
        <v>71</v>
      </c>
      <c r="I24" s="53" t="s">
        <v>72</v>
      </c>
      <c r="J24" s="40" t="s">
        <v>73</v>
      </c>
    </row>
    <row r="25" spans="1:14" s="6" customFormat="1" ht="16.5" customHeight="1" x14ac:dyDescent="0.2">
      <c r="A25" s="51">
        <v>1</v>
      </c>
      <c r="B25" s="40" t="s">
        <v>74</v>
      </c>
      <c r="C25" s="54">
        <f>1.6093*A25</f>
        <v>1.6093</v>
      </c>
      <c r="D25" s="40" t="s">
        <v>75</v>
      </c>
      <c r="E25" s="53" t="s">
        <v>76</v>
      </c>
      <c r="F25" s="40" t="s">
        <v>77</v>
      </c>
      <c r="G25" s="8">
        <v>1</v>
      </c>
      <c r="H25" s="8">
        <v>1000</v>
      </c>
      <c r="I25" s="8">
        <v>1000000</v>
      </c>
      <c r="J25" s="40" t="s">
        <v>78</v>
      </c>
      <c r="K25" s="15"/>
      <c r="L25" s="15"/>
      <c r="M25" s="15"/>
    </row>
    <row r="26" spans="1:14" s="6" customFormat="1" ht="16.5" customHeight="1" x14ac:dyDescent="0.2">
      <c r="A26" s="51">
        <v>1</v>
      </c>
      <c r="B26" s="40" t="s">
        <v>79</v>
      </c>
      <c r="C26" s="62">
        <f>0.6214*A26</f>
        <v>0.62139999999999995</v>
      </c>
      <c r="D26" s="40" t="s">
        <v>80</v>
      </c>
      <c r="E26" s="58">
        <v>80</v>
      </c>
      <c r="F26" s="63">
        <f>E26/1.6093</f>
        <v>49.71105449574349</v>
      </c>
      <c r="G26" s="21" t="s">
        <v>81</v>
      </c>
      <c r="H26" s="21" t="s">
        <v>82</v>
      </c>
      <c r="I26" s="15"/>
      <c r="J26" s="21" t="s">
        <v>83</v>
      </c>
      <c r="K26" s="15"/>
      <c r="L26" s="64"/>
      <c r="M26" s="22"/>
    </row>
    <row r="27" spans="1:14" s="6" customFormat="1" ht="16.5" customHeight="1" x14ac:dyDescent="0.2">
      <c r="A27" s="51">
        <v>1</v>
      </c>
      <c r="B27" s="40" t="s">
        <v>84</v>
      </c>
      <c r="C27" s="65">
        <f>7.92*A27</f>
        <v>7.92</v>
      </c>
      <c r="D27" s="40" t="s">
        <v>58</v>
      </c>
      <c r="E27" s="61">
        <f>C27/C24</f>
        <v>14.484124968249937</v>
      </c>
      <c r="F27" s="40" t="s">
        <v>85</v>
      </c>
      <c r="G27" s="60">
        <f>A27*C27/12</f>
        <v>0.66</v>
      </c>
      <c r="H27" s="40" t="s">
        <v>69</v>
      </c>
      <c r="I27" s="15"/>
      <c r="J27" s="21" t="s">
        <v>86</v>
      </c>
    </row>
    <row r="28" spans="1:14" s="6" customFormat="1" ht="16.5" customHeight="1" x14ac:dyDescent="0.2">
      <c r="A28" s="51">
        <v>11</v>
      </c>
      <c r="B28" s="40" t="s">
        <v>87</v>
      </c>
      <c r="C28" s="66">
        <f>A28*12/40</f>
        <v>3.3</v>
      </c>
      <c r="D28" s="40" t="s">
        <v>85</v>
      </c>
      <c r="E28" s="61">
        <f>C28/1000</f>
        <v>3.3E-3</v>
      </c>
      <c r="F28" s="40" t="s">
        <v>75</v>
      </c>
      <c r="G28" s="60">
        <f>A28/1760/3</f>
        <v>2.0833333333333333E-3</v>
      </c>
      <c r="H28" s="21" t="s">
        <v>80</v>
      </c>
      <c r="I28" s="15"/>
      <c r="J28" s="15"/>
      <c r="K28" s="15"/>
      <c r="L28" s="64"/>
      <c r="M28" s="64"/>
      <c r="N28" s="67"/>
    </row>
    <row r="29" spans="1:14" s="6" customFormat="1" ht="16.5" customHeight="1" x14ac:dyDescent="0.2">
      <c r="A29" s="51">
        <v>20</v>
      </c>
      <c r="B29" s="40" t="s">
        <v>88</v>
      </c>
      <c r="C29" s="57">
        <f>0.3937*A29</f>
        <v>7.8739999999999997</v>
      </c>
      <c r="D29" s="40" t="s">
        <v>58</v>
      </c>
      <c r="E29" s="22"/>
      <c r="F29" s="22"/>
      <c r="G29" s="15"/>
      <c r="H29" s="15"/>
      <c r="I29" s="15"/>
      <c r="J29" s="15"/>
      <c r="K29" s="15"/>
      <c r="L29" s="64"/>
      <c r="M29" s="64"/>
      <c r="N29" s="67"/>
    </row>
    <row r="30" spans="1:14" s="6" customFormat="1" ht="16.5" customHeight="1" x14ac:dyDescent="0.2">
      <c r="A30" s="51">
        <v>1</v>
      </c>
      <c r="B30" s="40" t="s">
        <v>89</v>
      </c>
      <c r="C30" s="68">
        <v>1000</v>
      </c>
      <c r="D30" s="40" t="s">
        <v>57</v>
      </c>
      <c r="E30" s="69">
        <v>100</v>
      </c>
      <c r="F30" s="40" t="s">
        <v>90</v>
      </c>
      <c r="G30" s="68">
        <f>E30/10</f>
        <v>10</v>
      </c>
      <c r="H30" s="21" t="s">
        <v>91</v>
      </c>
      <c r="I30" s="15"/>
      <c r="J30" s="15"/>
      <c r="K30" s="15"/>
      <c r="L30" s="64"/>
      <c r="M30" s="64"/>
      <c r="N30" s="67"/>
    </row>
    <row r="31" spans="1:14" s="6" customFormat="1" ht="16.5" customHeight="1" x14ac:dyDescent="0.2">
      <c r="A31" s="64"/>
      <c r="B31" s="30" t="s">
        <v>92</v>
      </c>
      <c r="C31" s="64"/>
      <c r="D31" s="64"/>
      <c r="F31" s="64"/>
      <c r="G31" s="64"/>
      <c r="H31" s="64"/>
      <c r="I31" s="64"/>
      <c r="J31" s="64"/>
      <c r="K31" s="64"/>
      <c r="L31" s="64"/>
      <c r="M31" s="64"/>
      <c r="N31" s="70"/>
    </row>
    <row r="32" spans="1:14" s="6" customFormat="1" ht="16.5" customHeight="1" x14ac:dyDescent="0.2">
      <c r="A32" s="51">
        <v>1</v>
      </c>
      <c r="B32" s="40" t="s">
        <v>93</v>
      </c>
      <c r="C32" s="71">
        <f>10000*A32</f>
        <v>10000</v>
      </c>
      <c r="D32" s="21" t="s">
        <v>94</v>
      </c>
      <c r="E32" s="64"/>
      <c r="F32" s="64"/>
      <c r="G32" s="64"/>
      <c r="H32" s="64"/>
      <c r="I32" s="64"/>
      <c r="J32" s="64"/>
      <c r="K32" s="64"/>
      <c r="L32" s="64"/>
      <c r="M32" s="64"/>
      <c r="N32" s="70"/>
    </row>
    <row r="33" spans="1:14" s="6" customFormat="1" ht="16.5" customHeight="1" x14ac:dyDescent="0.2">
      <c r="A33" s="51">
        <v>1</v>
      </c>
      <c r="B33" s="40" t="s">
        <v>95</v>
      </c>
      <c r="C33" s="54">
        <f>0.4047*A33</f>
        <v>0.4047</v>
      </c>
      <c r="D33" s="40" t="s">
        <v>96</v>
      </c>
      <c r="E33" s="21" t="s">
        <v>97</v>
      </c>
      <c r="F33" s="15"/>
      <c r="G33" s="72" t="s">
        <v>98</v>
      </c>
      <c r="H33" s="64"/>
      <c r="I33" s="64"/>
      <c r="J33" s="64"/>
      <c r="K33" s="15"/>
      <c r="L33" s="8"/>
      <c r="M33" s="8"/>
      <c r="N33" s="73"/>
    </row>
    <row r="34" spans="1:14" s="6" customFormat="1" ht="16.5" customHeight="1" x14ac:dyDescent="0.2">
      <c r="A34" s="51">
        <v>1</v>
      </c>
      <c r="B34" s="40" t="s">
        <v>99</v>
      </c>
      <c r="C34" s="54">
        <f>2.4711*A34</f>
        <v>2.4710999999999999</v>
      </c>
      <c r="D34" s="40" t="s">
        <v>44</v>
      </c>
      <c r="E34" s="21" t="s">
        <v>100</v>
      </c>
      <c r="F34" s="15"/>
      <c r="G34" s="21" t="s">
        <v>101</v>
      </c>
      <c r="H34" s="15"/>
      <c r="I34" s="33">
        <f>22/7</f>
        <v>3.1428571428571428</v>
      </c>
      <c r="K34" s="64"/>
      <c r="L34" s="64"/>
      <c r="M34" s="64"/>
      <c r="N34" s="39"/>
    </row>
    <row r="35" spans="1:14" s="6" customFormat="1" ht="16.5" customHeight="1" x14ac:dyDescent="0.2">
      <c r="A35" s="51">
        <v>1</v>
      </c>
      <c r="B35" s="40" t="s">
        <v>102</v>
      </c>
      <c r="C35" s="74">
        <f>0.0929*A35</f>
        <v>9.2899999999999996E-2</v>
      </c>
      <c r="D35" s="40" t="s">
        <v>103</v>
      </c>
      <c r="E35" s="21" t="s">
        <v>104</v>
      </c>
      <c r="F35" s="15"/>
      <c r="G35" s="21" t="s">
        <v>105</v>
      </c>
      <c r="H35" s="51">
        <v>0.5</v>
      </c>
      <c r="I35" s="61">
        <f>I34*H35*H35</f>
        <v>0.7857142857142857</v>
      </c>
      <c r="J35" s="21" t="s">
        <v>106</v>
      </c>
      <c r="K35" s="8">
        <v>1</v>
      </c>
      <c r="L35" s="75">
        <f>K35/I34</f>
        <v>0.31818181818181818</v>
      </c>
      <c r="M35" s="15"/>
      <c r="N35" s="76"/>
    </row>
    <row r="36" spans="1:14" s="6" customFormat="1" ht="16.5" customHeight="1" x14ac:dyDescent="0.2">
      <c r="A36" s="51">
        <v>1</v>
      </c>
      <c r="B36" s="40" t="s">
        <v>107</v>
      </c>
      <c r="C36" s="54">
        <f>10.764*A36</f>
        <v>10.763999999999999</v>
      </c>
      <c r="D36" s="40" t="s">
        <v>108</v>
      </c>
      <c r="E36" s="61">
        <f>A36*E18/10000</f>
        <v>2.4710999999999998E-4</v>
      </c>
      <c r="F36" s="40" t="s">
        <v>44</v>
      </c>
      <c r="G36" s="21" t="s">
        <v>109</v>
      </c>
      <c r="H36" s="15"/>
      <c r="I36" s="15"/>
      <c r="J36" s="15"/>
      <c r="K36" s="15"/>
      <c r="L36" s="39"/>
      <c r="M36" s="15"/>
      <c r="N36" s="77"/>
    </row>
    <row r="37" spans="1:14" s="6" customFormat="1" ht="16.5" customHeight="1" x14ac:dyDescent="0.2">
      <c r="A37" s="51">
        <v>1</v>
      </c>
      <c r="B37" s="40" t="s">
        <v>107</v>
      </c>
      <c r="C37" s="54">
        <f>A37/10000</f>
        <v>1E-4</v>
      </c>
      <c r="D37" s="40" t="s">
        <v>110</v>
      </c>
      <c r="E37" s="61">
        <f>C37*E18</f>
        <v>2.4710999999999998E-4</v>
      </c>
      <c r="F37" s="40" t="s">
        <v>44</v>
      </c>
      <c r="G37" s="40" t="s">
        <v>111</v>
      </c>
      <c r="H37" s="33">
        <f>22/7</f>
        <v>3.1428571428571428</v>
      </c>
      <c r="I37" s="15"/>
      <c r="J37" s="15"/>
      <c r="K37" s="78"/>
      <c r="L37" s="15"/>
      <c r="M37" s="15"/>
      <c r="N37" s="79"/>
    </row>
    <row r="38" spans="1:14" s="6" customFormat="1" ht="16.5" customHeight="1" x14ac:dyDescent="0.2">
      <c r="A38" s="80">
        <v>1</v>
      </c>
      <c r="B38" s="30" t="s">
        <v>112</v>
      </c>
      <c r="C38" s="81">
        <f>A38*C35</f>
        <v>9.2899999999999996E-2</v>
      </c>
      <c r="D38" s="40" t="s">
        <v>113</v>
      </c>
      <c r="E38" s="30" t="s">
        <v>113</v>
      </c>
      <c r="F38" s="51">
        <v>13</v>
      </c>
      <c r="G38" s="30" t="s">
        <v>114</v>
      </c>
      <c r="H38" s="82">
        <f>F38/C35</f>
        <v>139.93541442411194</v>
      </c>
      <c r="I38" s="15"/>
      <c r="J38" s="15"/>
      <c r="K38" s="8"/>
      <c r="L38" s="42"/>
      <c r="M38" s="15"/>
      <c r="N38" s="83"/>
    </row>
    <row r="39" spans="1:14" s="6" customFormat="1" ht="16.5" customHeight="1" x14ac:dyDescent="0.2">
      <c r="A39" s="51">
        <v>1</v>
      </c>
      <c r="B39" s="40" t="s">
        <v>115</v>
      </c>
      <c r="C39" s="53" t="s">
        <v>116</v>
      </c>
      <c r="D39" s="84" t="s">
        <v>117</v>
      </c>
      <c r="E39" s="33">
        <v>0</v>
      </c>
      <c r="F39" s="85">
        <v>0</v>
      </c>
      <c r="G39" s="61">
        <v>0</v>
      </c>
      <c r="H39" s="86">
        <v>0</v>
      </c>
      <c r="I39" s="87">
        <v>0</v>
      </c>
      <c r="J39" s="88">
        <v>34321</v>
      </c>
      <c r="K39" s="26" t="s">
        <v>118</v>
      </c>
      <c r="L39" s="15"/>
      <c r="M39" s="15"/>
      <c r="N39" s="89"/>
    </row>
    <row r="40" spans="1:14" s="6" customFormat="1" ht="16.5" customHeight="1" x14ac:dyDescent="0.2">
      <c r="A40" s="15"/>
      <c r="B40" s="30" t="s">
        <v>119</v>
      </c>
      <c r="C40" s="21" t="s">
        <v>120</v>
      </c>
      <c r="D40" s="8"/>
      <c r="E40" s="8"/>
      <c r="F40" s="15"/>
      <c r="G40" s="90">
        <v>0</v>
      </c>
      <c r="H40" s="91">
        <v>0</v>
      </c>
      <c r="I40" s="92">
        <v>0</v>
      </c>
      <c r="J40" s="93">
        <f t="shared" ca="1" si="1"/>
        <v>41329.47848888889</v>
      </c>
      <c r="K40" s="26" t="s">
        <v>118</v>
      </c>
      <c r="L40" s="15"/>
      <c r="M40" s="94"/>
      <c r="N40" s="95"/>
    </row>
    <row r="41" spans="1:14" s="6" customFormat="1" ht="16.5" customHeight="1" x14ac:dyDescent="0.2">
      <c r="A41" s="51">
        <v>5</v>
      </c>
      <c r="B41" s="40" t="s">
        <v>121</v>
      </c>
      <c r="C41" s="96">
        <f>A41/2.47</f>
        <v>2.0242914979757085</v>
      </c>
      <c r="D41" s="40" t="s">
        <v>122</v>
      </c>
      <c r="E41" s="40" t="s">
        <v>123</v>
      </c>
      <c r="F41" s="15"/>
      <c r="G41" s="38" t="s">
        <v>43</v>
      </c>
      <c r="H41" s="8">
        <v>2.4710999999999999</v>
      </c>
      <c r="I41" s="40" t="s">
        <v>44</v>
      </c>
      <c r="J41" s="95"/>
      <c r="K41" s="41"/>
      <c r="L41" s="15"/>
      <c r="M41" s="94"/>
      <c r="N41" s="95"/>
    </row>
    <row r="42" spans="1:14" s="6" customFormat="1" ht="16.5" customHeight="1" x14ac:dyDescent="0.2">
      <c r="A42" s="97">
        <v>5000</v>
      </c>
      <c r="B42" s="98" t="s">
        <v>124</v>
      </c>
      <c r="C42" s="99">
        <f>A42*2.2046/2.4711</f>
        <v>4460.7664602808472</v>
      </c>
      <c r="D42" s="40" t="s">
        <v>125</v>
      </c>
      <c r="E42" s="100">
        <f>C42/2000</f>
        <v>2.2303832301404238</v>
      </c>
      <c r="F42" s="40" t="s">
        <v>126</v>
      </c>
      <c r="G42" s="15"/>
      <c r="H42" s="15"/>
      <c r="I42" s="15"/>
      <c r="J42" s="39">
        <v>0</v>
      </c>
      <c r="M42" s="15"/>
    </row>
    <row r="43" spans="1:14" s="6" customFormat="1" ht="16.5" customHeight="1" x14ac:dyDescent="0.2">
      <c r="A43" s="97">
        <v>150</v>
      </c>
      <c r="B43" s="98" t="s">
        <v>124</v>
      </c>
      <c r="C43" s="101">
        <f>A43/10000*1000</f>
        <v>15</v>
      </c>
      <c r="D43" s="40" t="s">
        <v>127</v>
      </c>
      <c r="E43" s="102">
        <f>C43/5</f>
        <v>3</v>
      </c>
      <c r="F43" s="103" t="s">
        <v>128</v>
      </c>
      <c r="G43" s="104" t="s">
        <v>129</v>
      </c>
      <c r="H43" s="16"/>
      <c r="I43" s="105"/>
      <c r="J43" s="106"/>
      <c r="K43" s="106"/>
      <c r="L43" s="15"/>
      <c r="M43" s="94"/>
      <c r="N43" s="95"/>
    </row>
    <row r="44" spans="1:14" s="6" customFormat="1" ht="16.5" customHeight="1" x14ac:dyDescent="0.2">
      <c r="A44" s="97">
        <v>2240</v>
      </c>
      <c r="B44" s="98" t="s">
        <v>130</v>
      </c>
      <c r="C44" s="99">
        <f>A44/2.2+C43+C43+C4351</f>
        <v>1048.181818181818</v>
      </c>
      <c r="D44" s="40" t="s">
        <v>131</v>
      </c>
      <c r="E44" s="107">
        <f>A44/2240</f>
        <v>1</v>
      </c>
      <c r="F44" s="21" t="s">
        <v>132</v>
      </c>
      <c r="G44" s="38" t="s">
        <v>133</v>
      </c>
      <c r="H44" s="22">
        <f>A44*16</f>
        <v>35840</v>
      </c>
      <c r="I44" s="15"/>
      <c r="L44" s="50"/>
      <c r="M44" s="15"/>
    </row>
    <row r="45" spans="1:14" s="6" customFormat="1" ht="16.5" customHeight="1" x14ac:dyDescent="0.2">
      <c r="A45" s="97">
        <v>1000</v>
      </c>
      <c r="B45" s="98" t="s">
        <v>134</v>
      </c>
      <c r="C45" s="108">
        <f>2.2046*A45</f>
        <v>2204.6</v>
      </c>
      <c r="D45" s="40" t="s">
        <v>135</v>
      </c>
      <c r="E45" s="109">
        <v>1</v>
      </c>
      <c r="F45" s="33">
        <f>E45*1000</f>
        <v>1000</v>
      </c>
      <c r="G45" s="40" t="s">
        <v>136</v>
      </c>
      <c r="H45" s="15"/>
      <c r="I45" s="53" t="s">
        <v>137</v>
      </c>
      <c r="M45" s="15"/>
    </row>
    <row r="46" spans="1:14" s="6" customFormat="1" ht="16.5" customHeight="1" x14ac:dyDescent="0.2">
      <c r="A46" s="110">
        <v>1</v>
      </c>
      <c r="B46" s="98" t="s">
        <v>138</v>
      </c>
      <c r="C46" s="111">
        <f>28.35*A46</f>
        <v>28.35</v>
      </c>
      <c r="D46" s="40" t="s">
        <v>139</v>
      </c>
      <c r="E46" s="14" t="s">
        <v>140</v>
      </c>
      <c r="F46" s="15"/>
      <c r="G46" s="47" t="s">
        <v>141</v>
      </c>
      <c r="H46" s="15"/>
      <c r="I46" s="15"/>
      <c r="M46" s="15"/>
    </row>
    <row r="47" spans="1:14" s="6" customFormat="1" ht="16.5" customHeight="1" x14ac:dyDescent="0.2">
      <c r="A47" s="110">
        <v>1</v>
      </c>
      <c r="B47" s="98" t="s">
        <v>142</v>
      </c>
      <c r="C47" s="112">
        <f>1/C46*A47</f>
        <v>3.5273368606701938E-2</v>
      </c>
      <c r="D47" s="40" t="s">
        <v>143</v>
      </c>
      <c r="E47" s="113">
        <f>A47/10</f>
        <v>0.1</v>
      </c>
      <c r="F47" s="21" t="s">
        <v>144</v>
      </c>
      <c r="G47" s="33">
        <f>A47/1000</f>
        <v>1E-3</v>
      </c>
      <c r="H47" s="15"/>
      <c r="I47" s="15"/>
      <c r="M47" s="15"/>
    </row>
    <row r="48" spans="1:14" s="6" customFormat="1" ht="16.5" customHeight="1" x14ac:dyDescent="0.2">
      <c r="A48" s="110">
        <v>1</v>
      </c>
      <c r="B48" s="98" t="s">
        <v>145</v>
      </c>
      <c r="C48" s="112">
        <f>C47/1000*A48</f>
        <v>3.5273368606701937E-5</v>
      </c>
      <c r="D48" s="40" t="s">
        <v>143</v>
      </c>
      <c r="E48" s="113">
        <f>A49*2.47/2240*1000</f>
        <v>2.2053571428571432</v>
      </c>
      <c r="F48" s="15">
        <v>28</v>
      </c>
      <c r="G48" s="15"/>
      <c r="H48" s="15"/>
      <c r="I48" s="15"/>
      <c r="J48" s="114" t="s">
        <v>146</v>
      </c>
      <c r="M48" s="15"/>
    </row>
    <row r="49" spans="1:15" s="6" customFormat="1" ht="16.5" customHeight="1" x14ac:dyDescent="0.2">
      <c r="A49" s="115">
        <v>2</v>
      </c>
      <c r="B49" s="98" t="s">
        <v>147</v>
      </c>
      <c r="C49" s="111">
        <f>A49*2.4711/2.2046</f>
        <v>2.2417672140070759</v>
      </c>
      <c r="D49" s="40" t="s">
        <v>148</v>
      </c>
      <c r="E49" s="107">
        <f>C50/112</f>
        <v>8.8902392783020718E-3</v>
      </c>
      <c r="F49" s="21" t="s">
        <v>149</v>
      </c>
      <c r="G49" s="8">
        <f>20*100</f>
        <v>2000</v>
      </c>
      <c r="H49" s="24" t="s">
        <v>139</v>
      </c>
      <c r="I49" s="15"/>
      <c r="J49" s="8">
        <v>0</v>
      </c>
      <c r="K49" s="72" t="s">
        <v>150</v>
      </c>
      <c r="M49" s="15"/>
    </row>
    <row r="50" spans="1:15" s="6" customFormat="1" ht="16.5" customHeight="1" x14ac:dyDescent="0.2">
      <c r="A50" s="115">
        <v>2.5</v>
      </c>
      <c r="B50" s="98" t="s">
        <v>151</v>
      </c>
      <c r="C50" s="116">
        <f>A50*2.2046/2.4711/2240*1000</f>
        <v>0.99570679916983196</v>
      </c>
      <c r="D50" s="40" t="s">
        <v>152</v>
      </c>
      <c r="E50" s="117">
        <f>C50/2240</f>
        <v>4.4451196391510358E-4</v>
      </c>
      <c r="F50" s="40" t="s">
        <v>152</v>
      </c>
      <c r="G50" s="118" t="s">
        <v>153</v>
      </c>
      <c r="H50" s="119"/>
      <c r="I50" s="15"/>
      <c r="J50" s="73">
        <v>0</v>
      </c>
      <c r="M50" s="22"/>
    </row>
    <row r="51" spans="1:15" s="6" customFormat="1" ht="16.5" customHeight="1" x14ac:dyDescent="0.2">
      <c r="A51" s="97">
        <v>1000</v>
      </c>
      <c r="B51" s="98" t="s">
        <v>124</v>
      </c>
      <c r="C51" s="99">
        <f>A51*2.2046/2.4711</f>
        <v>892.15329205616933</v>
      </c>
      <c r="D51" s="40" t="s">
        <v>125</v>
      </c>
      <c r="E51" s="100">
        <f>C51/2000</f>
        <v>0.44607664602808467</v>
      </c>
      <c r="F51" s="40" t="s">
        <v>126</v>
      </c>
      <c r="G51" s="70"/>
      <c r="H51" s="15"/>
      <c r="I51" s="15"/>
      <c r="J51" s="39">
        <v>0</v>
      </c>
      <c r="M51" s="15"/>
    </row>
    <row r="52" spans="1:15" s="6" customFormat="1" ht="16.5" customHeight="1" x14ac:dyDescent="0.2">
      <c r="A52" s="97">
        <v>4480</v>
      </c>
      <c r="B52" s="13" t="s">
        <v>154</v>
      </c>
      <c r="C52" s="99">
        <f>A52/2.2046*2.47</f>
        <v>5019.3232332395901</v>
      </c>
      <c r="D52" s="40" t="s">
        <v>155</v>
      </c>
      <c r="E52" s="120"/>
      <c r="F52" s="25">
        <v>2510.7800000000002</v>
      </c>
      <c r="G52" s="121">
        <v>2.4710999999999999</v>
      </c>
      <c r="J52" s="39"/>
    </row>
    <row r="53" spans="1:15" s="6" customFormat="1" ht="16.5" customHeight="1" x14ac:dyDescent="0.2">
      <c r="A53" s="110">
        <v>1</v>
      </c>
      <c r="B53" s="98" t="s">
        <v>156</v>
      </c>
      <c r="C53" s="122">
        <f>A53*2000/C18*E18/1000</f>
        <v>2.2417672140070759</v>
      </c>
      <c r="D53" s="40" t="s">
        <v>148</v>
      </c>
      <c r="E53" s="123">
        <f>A53*2000</f>
        <v>2000</v>
      </c>
      <c r="F53" s="124">
        <f>E53/2.2</f>
        <v>909.09090909090901</v>
      </c>
      <c r="G53" s="125">
        <f>F53*2.47</f>
        <v>2245.4545454545455</v>
      </c>
      <c r="H53" s="126">
        <f>F53/2.47</f>
        <v>368.05299963194693</v>
      </c>
      <c r="I53" s="15"/>
      <c r="J53" s="76">
        <v>0</v>
      </c>
      <c r="M53" s="15"/>
    </row>
    <row r="54" spans="1:15" s="6" customFormat="1" ht="16.5" customHeight="1" x14ac:dyDescent="0.2">
      <c r="A54" s="110">
        <v>1</v>
      </c>
      <c r="B54" s="98" t="s">
        <v>157</v>
      </c>
      <c r="C54" s="111">
        <f>A54/2.2046*$E$18/16*1000</f>
        <v>70.05522543772112</v>
      </c>
      <c r="D54" s="40" t="s">
        <v>158</v>
      </c>
      <c r="E54" s="14" t="s">
        <v>159</v>
      </c>
      <c r="F54" s="21" t="s">
        <v>160</v>
      </c>
      <c r="G54" s="21" t="s">
        <v>161</v>
      </c>
      <c r="H54" s="15"/>
      <c r="I54" s="15"/>
      <c r="J54" s="127">
        <v>0</v>
      </c>
      <c r="M54" s="15"/>
    </row>
    <row r="55" spans="1:15" s="6" customFormat="1" ht="16.5" customHeight="1" x14ac:dyDescent="0.2">
      <c r="A55" s="110">
        <v>1</v>
      </c>
      <c r="B55" s="98" t="s">
        <v>162</v>
      </c>
      <c r="C55" s="112">
        <f>(2.2046/$E$18)*A55*16/1000</f>
        <v>1.4274452672898711E-2</v>
      </c>
      <c r="D55" s="40" t="s">
        <v>163</v>
      </c>
      <c r="E55" s="107">
        <f>A55/10/$E$18</f>
        <v>4.0467807858848293E-2</v>
      </c>
      <c r="F55" s="21" t="s">
        <v>164</v>
      </c>
      <c r="G55" s="53" t="s">
        <v>165</v>
      </c>
      <c r="H55" s="15"/>
      <c r="I55" s="15"/>
      <c r="J55" s="79">
        <v>0</v>
      </c>
    </row>
    <row r="56" spans="1:15" s="6" customFormat="1" ht="16.5" customHeight="1" x14ac:dyDescent="0.2">
      <c r="A56" s="110">
        <v>1</v>
      </c>
      <c r="B56" s="98" t="s">
        <v>166</v>
      </c>
      <c r="C56" s="128">
        <f>A56/10000</f>
        <v>1E-4</v>
      </c>
      <c r="D56" s="129">
        <f>A56*1000</f>
        <v>1000</v>
      </c>
      <c r="E56" s="98" t="s">
        <v>167</v>
      </c>
      <c r="F56" s="15"/>
      <c r="G56" s="53" t="s">
        <v>168</v>
      </c>
      <c r="H56" s="33">
        <f>F56</f>
        <v>0</v>
      </c>
      <c r="I56" s="21" t="s">
        <v>167</v>
      </c>
      <c r="J56" s="83">
        <v>0</v>
      </c>
    </row>
    <row r="57" spans="1:15" s="6" customFormat="1" ht="16.5" customHeight="1" x14ac:dyDescent="0.2">
      <c r="A57" s="110">
        <v>1</v>
      </c>
      <c r="B57" s="98" t="s">
        <v>169</v>
      </c>
      <c r="C57" s="130">
        <f>A57/100000</f>
        <v>1.0000000000000001E-5</v>
      </c>
      <c r="D57" s="131" t="s">
        <v>170</v>
      </c>
      <c r="E57" s="132">
        <f>A57</f>
        <v>1</v>
      </c>
      <c r="F57" s="40" t="s">
        <v>167</v>
      </c>
      <c r="G57" s="53" t="s">
        <v>171</v>
      </c>
      <c r="H57" s="53" t="s">
        <v>172</v>
      </c>
      <c r="I57" s="15"/>
      <c r="J57" s="89">
        <v>34321</v>
      </c>
    </row>
    <row r="58" spans="1:15" s="6" customFormat="1" ht="16.5" customHeight="1" x14ac:dyDescent="0.2">
      <c r="A58" s="110">
        <v>1</v>
      </c>
      <c r="B58" s="98" t="s">
        <v>173</v>
      </c>
      <c r="C58" s="133">
        <v>5</v>
      </c>
      <c r="D58" s="40" t="s">
        <v>174</v>
      </c>
      <c r="E58" s="8"/>
      <c r="F58" s="134"/>
      <c r="G58" s="134"/>
      <c r="J58" s="93">
        <f ca="1">NOW()</f>
        <v>41329.47848888889</v>
      </c>
      <c r="L58" s="15"/>
      <c r="M58" s="15"/>
      <c r="N58" s="15"/>
      <c r="O58" s="15"/>
    </row>
    <row r="59" spans="1:15" s="6" customFormat="1" ht="16.5" customHeight="1" x14ac:dyDescent="0.2">
      <c r="A59" s="110">
        <v>25</v>
      </c>
      <c r="B59" s="98" t="s">
        <v>175</v>
      </c>
      <c r="C59" s="135">
        <v>1</v>
      </c>
      <c r="D59" s="26" t="s">
        <v>142</v>
      </c>
      <c r="E59" s="71">
        <f>C59*1000</f>
        <v>1000</v>
      </c>
      <c r="F59" s="12" t="s">
        <v>176</v>
      </c>
      <c r="G59" s="136">
        <f>E59/10000*1000</f>
        <v>100</v>
      </c>
      <c r="H59" s="137" t="s">
        <v>177</v>
      </c>
      <c r="I59" s="136">
        <f>G59/10</f>
        <v>10</v>
      </c>
      <c r="J59" s="137" t="s">
        <v>178</v>
      </c>
      <c r="L59" s="15"/>
      <c r="M59" s="15"/>
      <c r="N59" s="15"/>
      <c r="O59" s="15"/>
    </row>
    <row r="60" spans="1:15" s="6" customFormat="1" ht="16.5" customHeight="1" x14ac:dyDescent="0.2">
      <c r="A60" s="110">
        <v>1</v>
      </c>
      <c r="B60" s="98" t="s">
        <v>175</v>
      </c>
      <c r="C60" s="138">
        <f>A60*2.2046</f>
        <v>2.2046000000000001</v>
      </c>
      <c r="D60" s="40" t="s">
        <v>179</v>
      </c>
      <c r="E60" s="70"/>
      <c r="F60" s="139"/>
      <c r="G60" s="140"/>
      <c r="H60" s="141"/>
      <c r="I60" s="141"/>
      <c r="L60" s="15"/>
      <c r="M60" s="15"/>
      <c r="N60" s="15"/>
      <c r="O60" s="15"/>
    </row>
    <row r="61" spans="1:15" s="6" customFormat="1" ht="16.5" customHeight="1" x14ac:dyDescent="0.2">
      <c r="A61" s="97">
        <v>1</v>
      </c>
      <c r="B61" s="40" t="s">
        <v>180</v>
      </c>
      <c r="C61" s="138">
        <f>A61*2.2046</f>
        <v>2.2046000000000001</v>
      </c>
      <c r="D61" s="40" t="s">
        <v>181</v>
      </c>
      <c r="E61" s="142">
        <f>C61/2240</f>
        <v>9.8419642857142868E-4</v>
      </c>
      <c r="F61" s="40" t="s">
        <v>182</v>
      </c>
      <c r="G61" s="33">
        <f>E61*0.9072</f>
        <v>8.9286300000000014E-4</v>
      </c>
      <c r="H61" s="53" t="s">
        <v>183</v>
      </c>
      <c r="I61" s="134"/>
      <c r="J61" s="8"/>
      <c r="K61" s="22"/>
      <c r="L61" s="15"/>
      <c r="M61" s="15"/>
      <c r="N61" s="15"/>
      <c r="O61" s="15"/>
    </row>
    <row r="62" spans="1:15" s="6" customFormat="1" ht="16.5" customHeight="1" x14ac:dyDescent="0.2">
      <c r="A62" s="118" t="s">
        <v>153</v>
      </c>
      <c r="B62" s="30" t="s">
        <v>184</v>
      </c>
      <c r="C62" s="53" t="s">
        <v>185</v>
      </c>
      <c r="D62" s="53" t="s">
        <v>186</v>
      </c>
      <c r="E62" s="8">
        <v>3.1415899999999999</v>
      </c>
      <c r="F62" s="8">
        <v>125</v>
      </c>
      <c r="G62" s="129">
        <f>F62*F62</f>
        <v>15625</v>
      </c>
      <c r="H62" s="51">
        <v>300</v>
      </c>
      <c r="I62" s="143">
        <f>E62*G62*H62/1000000</f>
        <v>14.726203125</v>
      </c>
      <c r="J62" s="38" t="s">
        <v>187</v>
      </c>
      <c r="K62" s="53" t="s">
        <v>188</v>
      </c>
      <c r="L62" s="15"/>
      <c r="M62" s="15"/>
      <c r="N62" s="15"/>
      <c r="O62" s="15"/>
    </row>
    <row r="63" spans="1:15" s="6" customFormat="1" ht="16.5" customHeight="1" x14ac:dyDescent="0.2">
      <c r="A63" s="69">
        <v>1000000</v>
      </c>
      <c r="B63" s="40" t="s">
        <v>167</v>
      </c>
      <c r="C63" s="38" t="s">
        <v>189</v>
      </c>
      <c r="D63" s="144">
        <f>A63/1000000</f>
        <v>1</v>
      </c>
      <c r="E63" s="40" t="s">
        <v>190</v>
      </c>
      <c r="F63" s="21" t="s">
        <v>191</v>
      </c>
      <c r="G63" s="70"/>
      <c r="H63" s="8"/>
      <c r="I63" s="145"/>
      <c r="J63" s="50"/>
      <c r="K63" s="8"/>
      <c r="L63" s="146" t="s">
        <v>192</v>
      </c>
      <c r="M63" s="15"/>
      <c r="N63" s="15"/>
      <c r="O63" s="15"/>
    </row>
    <row r="64" spans="1:15" s="6" customFormat="1" ht="16.5" customHeight="1" x14ac:dyDescent="0.2">
      <c r="A64" s="147">
        <v>1</v>
      </c>
      <c r="B64" s="40" t="s">
        <v>193</v>
      </c>
      <c r="C64" s="61">
        <f>4.546*A64</f>
        <v>4.5460000000000003</v>
      </c>
      <c r="D64" s="40" t="s">
        <v>141</v>
      </c>
      <c r="E64" s="40" t="s">
        <v>194</v>
      </c>
      <c r="F64" s="15"/>
      <c r="G64" s="15"/>
      <c r="I64" s="15"/>
      <c r="J64" s="15"/>
      <c r="K64" s="8"/>
      <c r="L64" s="47" t="s">
        <v>195</v>
      </c>
      <c r="M64" s="148" t="s">
        <v>196</v>
      </c>
      <c r="N64" s="15"/>
      <c r="O64" s="15"/>
    </row>
    <row r="65" spans="1:15" s="6" customFormat="1" ht="16.5" customHeight="1" x14ac:dyDescent="0.2">
      <c r="A65" s="51">
        <v>1</v>
      </c>
      <c r="B65" s="40" t="s">
        <v>197</v>
      </c>
      <c r="C65" s="8">
        <v>0.58299999999999996</v>
      </c>
      <c r="D65" s="40" t="s">
        <v>141</v>
      </c>
      <c r="E65" s="53" t="s">
        <v>198</v>
      </c>
      <c r="F65" s="40" t="s">
        <v>199</v>
      </c>
      <c r="G65" s="149"/>
      <c r="H65" s="15"/>
      <c r="I65" s="38" t="s">
        <v>200</v>
      </c>
      <c r="J65" s="150">
        <v>56</v>
      </c>
      <c r="K65" s="51">
        <v>40000</v>
      </c>
      <c r="L65" s="51">
        <v>30</v>
      </c>
      <c r="M65" s="151">
        <f>J65/K65*L65</f>
        <v>4.2000000000000003E-2</v>
      </c>
      <c r="N65" s="15"/>
      <c r="O65" s="15"/>
    </row>
    <row r="66" spans="1:15" s="6" customFormat="1" ht="16.5" customHeight="1" x14ac:dyDescent="0.2">
      <c r="A66" s="51">
        <v>1</v>
      </c>
      <c r="B66" s="40" t="s">
        <v>201</v>
      </c>
      <c r="C66" s="33">
        <f>0.0283*A66</f>
        <v>2.8299999999999999E-2</v>
      </c>
      <c r="D66" s="40" t="s">
        <v>202</v>
      </c>
      <c r="E66" s="40" t="s">
        <v>203</v>
      </c>
      <c r="F66" s="15"/>
      <c r="G66" s="15"/>
      <c r="H66" s="15"/>
      <c r="I66" s="38" t="s">
        <v>204</v>
      </c>
      <c r="J66" s="38" t="s">
        <v>205</v>
      </c>
      <c r="K66" s="38" t="s">
        <v>206</v>
      </c>
      <c r="L66" s="38" t="s">
        <v>207</v>
      </c>
      <c r="M66" s="15"/>
      <c r="N66" s="15"/>
      <c r="O66" s="15"/>
    </row>
    <row r="67" spans="1:15" s="6" customFormat="1" ht="16.5" customHeight="1" x14ac:dyDescent="0.2">
      <c r="A67" s="51">
        <v>1</v>
      </c>
      <c r="B67" s="40" t="s">
        <v>208</v>
      </c>
      <c r="C67" s="143">
        <f>35.3*A67</f>
        <v>35.299999999999997</v>
      </c>
      <c r="D67" s="40" t="s">
        <v>209</v>
      </c>
      <c r="E67" s="71">
        <f>A67*1000</f>
        <v>1000</v>
      </c>
      <c r="F67" s="40" t="s">
        <v>210</v>
      </c>
      <c r="G67" s="50">
        <v>1000</v>
      </c>
      <c r="H67" s="21" t="s">
        <v>211</v>
      </c>
      <c r="I67" s="152">
        <v>200</v>
      </c>
      <c r="J67" s="153">
        <v>1000</v>
      </c>
      <c r="K67" s="54">
        <f>I67*J67</f>
        <v>200000</v>
      </c>
      <c r="L67" s="50">
        <v>10</v>
      </c>
      <c r="M67" s="148" t="s">
        <v>206</v>
      </c>
      <c r="N67" s="15"/>
      <c r="O67" s="15"/>
    </row>
    <row r="68" spans="1:15" s="6" customFormat="1" ht="16.5" customHeight="1" x14ac:dyDescent="0.2">
      <c r="A68" s="51">
        <v>200</v>
      </c>
      <c r="B68" s="40" t="s">
        <v>212</v>
      </c>
      <c r="C68" s="143">
        <f>0.22*A68</f>
        <v>44</v>
      </c>
      <c r="D68" s="40" t="s">
        <v>213</v>
      </c>
      <c r="E68" s="154">
        <f>0.22*A68/0.83</f>
        <v>53.01204819277109</v>
      </c>
      <c r="F68" s="40" t="s">
        <v>214</v>
      </c>
      <c r="G68" s="21" t="s">
        <v>215</v>
      </c>
      <c r="I68" s="152">
        <f>K67/L67</f>
        <v>20000</v>
      </c>
      <c r="J68" s="150">
        <v>770</v>
      </c>
      <c r="K68" s="155"/>
      <c r="L68" s="8">
        <v>10</v>
      </c>
      <c r="M68" s="151">
        <f>J68/I68</f>
        <v>3.85E-2</v>
      </c>
      <c r="N68" s="15"/>
      <c r="O68" s="15"/>
    </row>
    <row r="69" spans="1:15" s="6" customFormat="1" ht="16.5" customHeight="1" x14ac:dyDescent="0.2">
      <c r="A69" s="51">
        <v>1</v>
      </c>
      <c r="B69" s="40" t="s">
        <v>212</v>
      </c>
      <c r="C69" s="143">
        <f>1.76*A69</f>
        <v>1.76</v>
      </c>
      <c r="D69" s="40" t="s">
        <v>216</v>
      </c>
      <c r="E69" s="54">
        <f>1.76/20*16*A69</f>
        <v>1.4079999999999999</v>
      </c>
      <c r="F69" s="21" t="s">
        <v>217</v>
      </c>
      <c r="G69" s="156"/>
      <c r="L69" s="15"/>
      <c r="M69" s="15"/>
      <c r="N69" s="15"/>
      <c r="O69" s="15"/>
    </row>
    <row r="70" spans="1:15" s="6" customFormat="1" ht="16.5" customHeight="1" x14ac:dyDescent="0.2">
      <c r="A70" s="51">
        <v>1</v>
      </c>
      <c r="B70" s="40" t="s">
        <v>218</v>
      </c>
      <c r="C70" s="61">
        <f>3.773*A70</f>
        <v>3.7730000000000001</v>
      </c>
      <c r="D70" s="40" t="s">
        <v>141</v>
      </c>
      <c r="E70" s="54">
        <f>C70/1000</f>
        <v>3.7730000000000003E-3</v>
      </c>
      <c r="F70" s="21" t="s">
        <v>219</v>
      </c>
      <c r="G70" s="15"/>
      <c r="J70" s="15"/>
      <c r="K70" s="157"/>
      <c r="L70" s="15"/>
      <c r="M70" s="15"/>
      <c r="N70" s="15"/>
      <c r="O70" s="15"/>
    </row>
    <row r="71" spans="1:15" s="6" customFormat="1" ht="16.5" customHeight="1" x14ac:dyDescent="0.2">
      <c r="A71" s="158" t="s">
        <v>220</v>
      </c>
      <c r="B71" s="15"/>
      <c r="C71" s="8"/>
      <c r="D71" s="22"/>
      <c r="E71" s="8"/>
      <c r="F71" s="15"/>
      <c r="G71" s="15"/>
      <c r="H71" s="15"/>
      <c r="I71" s="15"/>
      <c r="J71" s="15"/>
      <c r="K71" s="8"/>
      <c r="L71" s="15"/>
      <c r="M71" s="22"/>
      <c r="N71" s="15"/>
      <c r="O71" s="15"/>
    </row>
    <row r="72" spans="1:15" s="6" customFormat="1" ht="16.5" customHeight="1" x14ac:dyDescent="0.2">
      <c r="A72" s="158" t="s">
        <v>221</v>
      </c>
      <c r="B72" s="50"/>
      <c r="C72" s="8"/>
      <c r="D72" s="22"/>
      <c r="E72" s="8"/>
      <c r="F72" s="15"/>
      <c r="G72" s="15"/>
      <c r="H72" s="15"/>
      <c r="I72" s="158" t="s">
        <v>222</v>
      </c>
      <c r="J72" s="15"/>
      <c r="K72" s="15"/>
      <c r="L72" s="15"/>
      <c r="M72" s="15"/>
      <c r="N72" s="15"/>
      <c r="O72" s="15"/>
    </row>
    <row r="73" spans="1:15" s="6" customFormat="1" ht="16.5" customHeight="1" x14ac:dyDescent="0.2">
      <c r="A73" s="51">
        <v>1</v>
      </c>
      <c r="B73" s="38" t="s">
        <v>223</v>
      </c>
      <c r="C73" s="33">
        <f>9*A73</f>
        <v>9</v>
      </c>
      <c r="D73" s="21" t="s">
        <v>224</v>
      </c>
      <c r="E73" s="114" t="s">
        <v>225</v>
      </c>
      <c r="F73" s="33">
        <f>C73*2.2</f>
        <v>19.8</v>
      </c>
      <c r="G73" s="21" t="s">
        <v>226</v>
      </c>
      <c r="H73" s="114" t="s">
        <v>227</v>
      </c>
      <c r="I73" s="15"/>
      <c r="J73" s="15"/>
      <c r="K73" s="15"/>
      <c r="L73" s="15"/>
      <c r="M73" s="15"/>
      <c r="N73" s="15"/>
      <c r="O73" s="15"/>
    </row>
    <row r="74" spans="1:15" s="6" customFormat="1" ht="16.5" customHeight="1" x14ac:dyDescent="0.2">
      <c r="A74" s="51">
        <v>1</v>
      </c>
      <c r="B74" s="38" t="s">
        <v>228</v>
      </c>
      <c r="C74" s="61">
        <f>A74*0.09</f>
        <v>0.09</v>
      </c>
      <c r="D74" s="46" t="s">
        <v>229</v>
      </c>
      <c r="E74" s="159">
        <v>7.5</v>
      </c>
      <c r="F74" s="160">
        <f>C74*E74</f>
        <v>0.67499999999999993</v>
      </c>
      <c r="G74" s="46" t="s">
        <v>230</v>
      </c>
      <c r="H74" s="159">
        <v>0.8</v>
      </c>
      <c r="I74" s="53" t="s">
        <v>170</v>
      </c>
      <c r="J74" s="160">
        <f>F74*H74</f>
        <v>0.53999999999999992</v>
      </c>
      <c r="K74" s="21" t="s">
        <v>231</v>
      </c>
      <c r="L74" s="15"/>
      <c r="M74" s="15"/>
      <c r="N74" s="15"/>
      <c r="O74" s="15"/>
    </row>
    <row r="75" spans="1:15" s="6" customFormat="1" ht="16.5" customHeight="1" x14ac:dyDescent="0.2">
      <c r="A75" s="51">
        <v>100</v>
      </c>
      <c r="B75" s="38" t="s">
        <v>232</v>
      </c>
      <c r="C75" s="161">
        <v>13</v>
      </c>
      <c r="D75" s="46" t="s">
        <v>233</v>
      </c>
      <c r="E75" s="160">
        <f>C75/100</f>
        <v>0.13</v>
      </c>
      <c r="F75" s="40" t="s">
        <v>234</v>
      </c>
      <c r="G75" s="162">
        <f>E75*2.2</f>
        <v>0.28600000000000003</v>
      </c>
      <c r="H75" s="40" t="s">
        <v>235</v>
      </c>
      <c r="I75" s="160">
        <f>G75/H74</f>
        <v>0.35750000000000004</v>
      </c>
      <c r="J75" s="53" t="s">
        <v>236</v>
      </c>
      <c r="K75" s="160">
        <f>I75*0.9</f>
        <v>0.32175000000000004</v>
      </c>
      <c r="L75" s="53" t="s">
        <v>237</v>
      </c>
      <c r="M75" s="15"/>
      <c r="N75" s="15"/>
      <c r="O75" s="15"/>
    </row>
    <row r="76" spans="1:15" s="6" customFormat="1" ht="16.5" customHeight="1" x14ac:dyDescent="0.2">
      <c r="A76" s="51">
        <v>25</v>
      </c>
      <c r="B76" s="40" t="s">
        <v>238</v>
      </c>
      <c r="C76" s="53" t="s">
        <v>239</v>
      </c>
      <c r="D76" s="46" t="s">
        <v>240</v>
      </c>
      <c r="E76" s="161"/>
      <c r="F76" s="22"/>
      <c r="G76" s="8"/>
      <c r="H76" s="22"/>
      <c r="L76" s="161"/>
      <c r="M76" s="15"/>
      <c r="N76" s="15"/>
      <c r="O76" s="15"/>
    </row>
    <row r="77" spans="1:15" s="6" customFormat="1" ht="16.5" customHeight="1" x14ac:dyDescent="0.2">
      <c r="A77" s="51"/>
      <c r="B77" s="50"/>
      <c r="C77" s="161"/>
      <c r="D77" s="16"/>
      <c r="E77" s="161"/>
      <c r="F77" s="163"/>
      <c r="G77" s="164"/>
      <c r="H77" s="163"/>
      <c r="L77" s="161"/>
      <c r="M77" s="15"/>
      <c r="N77" s="15"/>
      <c r="O77" s="15"/>
    </row>
    <row r="78" spans="1:15" s="6" customFormat="1" ht="16.5" customHeight="1" x14ac:dyDescent="0.2">
      <c r="B78" s="30" t="s">
        <v>241</v>
      </c>
      <c r="C78" s="8"/>
      <c r="D78" s="165"/>
      <c r="E78" s="165"/>
      <c r="F78" s="166"/>
      <c r="G78" s="166"/>
      <c r="H78" s="15"/>
      <c r="L78" s="15"/>
      <c r="M78" s="15"/>
      <c r="N78" s="15"/>
      <c r="O78" s="15"/>
    </row>
    <row r="79" spans="1:15" s="6" customFormat="1" ht="16.5" customHeight="1" x14ac:dyDescent="0.2">
      <c r="A79" s="51">
        <v>1</v>
      </c>
      <c r="B79" s="40" t="s">
        <v>242</v>
      </c>
      <c r="C79" s="154">
        <f>0.7457*A79</f>
        <v>0.74570000000000003</v>
      </c>
      <c r="D79" s="40" t="s">
        <v>243</v>
      </c>
      <c r="E79" s="26" t="s">
        <v>244</v>
      </c>
      <c r="F79" s="15"/>
      <c r="G79" s="15"/>
      <c r="H79" s="15"/>
      <c r="L79" s="15"/>
      <c r="M79" s="15"/>
      <c r="N79" s="15"/>
      <c r="O79" s="15"/>
    </row>
    <row r="80" spans="1:15" s="6" customFormat="1" ht="16.5" customHeight="1" x14ac:dyDescent="0.2">
      <c r="A80" s="51">
        <v>1</v>
      </c>
      <c r="B80" s="40" t="s">
        <v>245</v>
      </c>
      <c r="C80" s="154">
        <f>1.341*A80</f>
        <v>1.341</v>
      </c>
      <c r="D80" s="40" t="s">
        <v>246</v>
      </c>
      <c r="E80" s="30" t="s">
        <v>247</v>
      </c>
      <c r="F80" s="30" t="s">
        <v>248</v>
      </c>
      <c r="G80" s="30" t="s">
        <v>249</v>
      </c>
      <c r="H80" s="15"/>
      <c r="L80" s="15"/>
    </row>
    <row r="81" spans="1:13" s="6" customFormat="1" ht="16.5" customHeight="1" x14ac:dyDescent="0.2">
      <c r="B81" s="30" t="s">
        <v>250</v>
      </c>
      <c r="C81" s="8"/>
      <c r="D81" s="8"/>
      <c r="E81" s="51">
        <v>100</v>
      </c>
      <c r="F81" s="51">
        <v>9</v>
      </c>
      <c r="G81" s="167">
        <f>F81/E81</f>
        <v>0.09</v>
      </c>
      <c r="H81" s="40" t="s">
        <v>251</v>
      </c>
    </row>
    <row r="82" spans="1:13" s="6" customFormat="1" ht="16.5" customHeight="1" x14ac:dyDescent="0.2">
      <c r="A82" s="51">
        <v>1</v>
      </c>
      <c r="B82" s="40" t="s">
        <v>252</v>
      </c>
      <c r="C82" s="52">
        <f>3.3333333*A82</f>
        <v>3.3333333000000001</v>
      </c>
      <c r="D82" s="40" t="s">
        <v>253</v>
      </c>
      <c r="E82" s="40" t="s">
        <v>254</v>
      </c>
      <c r="F82" s="8"/>
      <c r="G82" s="8"/>
      <c r="H82" s="78"/>
      <c r="L82" s="15"/>
      <c r="M82" s="15"/>
    </row>
    <row r="83" spans="1:13" s="6" customFormat="1" ht="16.5" customHeight="1" x14ac:dyDescent="0.2">
      <c r="A83" s="51">
        <v>1</v>
      </c>
      <c r="B83" s="40" t="s">
        <v>255</v>
      </c>
      <c r="C83" s="52">
        <f>0.3*A83</f>
        <v>0.3</v>
      </c>
      <c r="D83" s="40" t="s">
        <v>256</v>
      </c>
      <c r="E83" s="40" t="s">
        <v>257</v>
      </c>
      <c r="F83" s="8"/>
      <c r="G83" s="8"/>
      <c r="H83" s="78"/>
      <c r="L83" s="15"/>
      <c r="M83" s="22"/>
    </row>
    <row r="84" spans="1:13" s="6" customFormat="1" ht="16.5" customHeight="1" x14ac:dyDescent="0.2">
      <c r="A84" s="51">
        <v>1</v>
      </c>
      <c r="B84" s="40" t="s">
        <v>258</v>
      </c>
      <c r="C84" s="54">
        <f>A84*6.895</f>
        <v>6.8949999999999996</v>
      </c>
      <c r="D84" s="40" t="s">
        <v>259</v>
      </c>
      <c r="E84" s="51">
        <v>2.3490000000000002</v>
      </c>
      <c r="F84" s="21" t="s">
        <v>260</v>
      </c>
    </row>
    <row r="85" spans="1:13" s="6" customFormat="1" ht="16.5" customHeight="1" x14ac:dyDescent="0.2">
      <c r="A85" s="51">
        <v>1</v>
      </c>
      <c r="B85" s="40" t="s">
        <v>258</v>
      </c>
      <c r="C85" s="52">
        <f>A85/1.419</f>
        <v>0.70472163495419304</v>
      </c>
      <c r="D85" s="40" t="s">
        <v>261</v>
      </c>
      <c r="E85" s="85">
        <f>C85*40/12</f>
        <v>2.3490721165139767</v>
      </c>
      <c r="F85" s="21" t="s">
        <v>262</v>
      </c>
      <c r="G85" s="129">
        <f>E85*12</f>
        <v>28.188865398167721</v>
      </c>
      <c r="H85" s="40" t="s">
        <v>263</v>
      </c>
    </row>
    <row r="86" spans="1:13" s="6" customFormat="1" ht="16.5" customHeight="1" x14ac:dyDescent="0.2">
      <c r="A86" s="51">
        <v>1</v>
      </c>
      <c r="B86" s="40" t="s">
        <v>264</v>
      </c>
      <c r="C86" s="52">
        <f>A86*0.145</f>
        <v>0.14499999999999999</v>
      </c>
      <c r="D86" s="40" t="s">
        <v>265</v>
      </c>
    </row>
    <row r="87" spans="1:13" s="6" customFormat="1" ht="16.5" customHeight="1" x14ac:dyDescent="0.2">
      <c r="A87" s="51">
        <v>1</v>
      </c>
      <c r="B87" s="40" t="s">
        <v>266</v>
      </c>
      <c r="C87" s="168">
        <f>A87*1.42</f>
        <v>1.42</v>
      </c>
      <c r="D87" s="40" t="s">
        <v>265</v>
      </c>
      <c r="E87" s="85">
        <f>C87*E84</f>
        <v>3.3355800000000002</v>
      </c>
      <c r="F87" s="21" t="s">
        <v>262</v>
      </c>
      <c r="G87" s="129">
        <f>E87*12</f>
        <v>40.026960000000003</v>
      </c>
      <c r="H87" s="21" t="s">
        <v>263</v>
      </c>
    </row>
    <row r="88" spans="1:13" s="6" customFormat="1" ht="16.5" customHeight="1" x14ac:dyDescent="0.2">
      <c r="B88" s="30" t="s">
        <v>267</v>
      </c>
      <c r="C88" s="8"/>
      <c r="D88" s="8"/>
      <c r="E88" s="21" t="s">
        <v>268</v>
      </c>
    </row>
    <row r="89" spans="1:13" s="6" customFormat="1" ht="16.5" customHeight="1" x14ac:dyDescent="0.2">
      <c r="A89" s="51">
        <v>40</v>
      </c>
      <c r="B89" s="40" t="s">
        <v>269</v>
      </c>
      <c r="C89" s="65">
        <f>(A89*9/5)+32</f>
        <v>104</v>
      </c>
      <c r="D89" s="21" t="s">
        <v>270</v>
      </c>
      <c r="E89" s="29" t="s">
        <v>271</v>
      </c>
      <c r="F89" s="64"/>
      <c r="G89" s="41"/>
      <c r="H89" s="40" t="s">
        <v>272</v>
      </c>
      <c r="L89" s="15"/>
      <c r="M89" s="15"/>
    </row>
    <row r="90" spans="1:13" s="6" customFormat="1" ht="16.5" customHeight="1" x14ac:dyDescent="0.2">
      <c r="A90" s="51">
        <v>55</v>
      </c>
      <c r="B90" s="40" t="s">
        <v>273</v>
      </c>
      <c r="C90" s="169">
        <f>(A90-32)*5/9</f>
        <v>12.777777777777779</v>
      </c>
      <c r="D90" s="21" t="s">
        <v>274</v>
      </c>
      <c r="E90" s="29" t="s">
        <v>275</v>
      </c>
      <c r="F90" s="15"/>
      <c r="G90" s="8"/>
      <c r="H90" s="40" t="s">
        <v>276</v>
      </c>
      <c r="L90" s="15"/>
      <c r="M90" s="15"/>
    </row>
    <row r="91" spans="1:13" s="6" customFormat="1" ht="16.5" customHeight="1" x14ac:dyDescent="0.2">
      <c r="A91" s="8"/>
      <c r="B91" s="22"/>
      <c r="C91" s="170"/>
      <c r="D91" s="15"/>
      <c r="E91" s="22"/>
      <c r="G91" s="8"/>
      <c r="H91" s="50"/>
      <c r="L91" s="15"/>
      <c r="M91" s="15"/>
    </row>
    <row r="92" spans="1:13" s="6" customFormat="1" ht="16.5" customHeight="1" x14ac:dyDescent="0.2">
      <c r="A92" s="171"/>
      <c r="B92" s="22"/>
      <c r="C92" s="170"/>
      <c r="D92" s="15"/>
      <c r="E92" s="22"/>
      <c r="G92" s="8"/>
      <c r="H92" s="50"/>
      <c r="L92" s="15"/>
      <c r="M92" s="15"/>
    </row>
    <row r="93" spans="1:13" s="6" customFormat="1" ht="16.5" customHeight="1" x14ac:dyDescent="0.2">
      <c r="A93" s="30" t="s">
        <v>277</v>
      </c>
      <c r="B93" s="30" t="s">
        <v>278</v>
      </c>
      <c r="C93" s="114" t="s">
        <v>279</v>
      </c>
      <c r="D93" s="114" t="s">
        <v>280</v>
      </c>
      <c r="E93" s="114" t="s">
        <v>281</v>
      </c>
      <c r="F93" s="114" t="s">
        <v>282</v>
      </c>
      <c r="G93" s="114" t="s">
        <v>283</v>
      </c>
      <c r="H93" s="21" t="s">
        <v>284</v>
      </c>
    </row>
    <row r="94" spans="1:13" s="6" customFormat="1" ht="16.5" customHeight="1" x14ac:dyDescent="0.2">
      <c r="A94" s="51">
        <v>60</v>
      </c>
      <c r="B94" s="69">
        <v>1200</v>
      </c>
      <c r="C94" s="143">
        <f>A94/B94*100</f>
        <v>5</v>
      </c>
      <c r="D94" s="143">
        <f>A94/B94</f>
        <v>0.05</v>
      </c>
      <c r="E94" s="61">
        <f>B94/A94</f>
        <v>20</v>
      </c>
      <c r="F94" s="172">
        <f>E94/8*5*4.5</f>
        <v>56.25</v>
      </c>
      <c r="G94" s="61">
        <f>F94*0.83</f>
        <v>46.6875</v>
      </c>
      <c r="H94" s="15"/>
    </row>
    <row r="95" spans="1:13" s="6" customFormat="1" ht="16.5" customHeight="1" x14ac:dyDescent="0.2">
      <c r="A95" s="72" t="s">
        <v>285</v>
      </c>
      <c r="B95" s="8"/>
      <c r="C95" s="8"/>
      <c r="D95" s="38" t="s">
        <v>286</v>
      </c>
      <c r="E95" s="143">
        <f>E94/G95*G96</f>
        <v>27.64227642276423</v>
      </c>
      <c r="F95" s="61">
        <f>F94/G95*G96</f>
        <v>77.743902439024396</v>
      </c>
      <c r="G95" s="173">
        <v>1.23</v>
      </c>
      <c r="H95" s="21" t="s">
        <v>287</v>
      </c>
      <c r="L95" s="15"/>
      <c r="M95" s="15"/>
    </row>
    <row r="96" spans="1:13" s="6" customFormat="1" ht="16.5" customHeight="1" x14ac:dyDescent="0.2">
      <c r="A96" s="47" t="s">
        <v>288</v>
      </c>
      <c r="B96" s="47" t="s">
        <v>288</v>
      </c>
      <c r="C96" s="47" t="s">
        <v>289</v>
      </c>
      <c r="D96" s="47" t="s">
        <v>290</v>
      </c>
      <c r="E96" s="8"/>
      <c r="F96" s="15"/>
      <c r="G96" s="173">
        <v>1.7</v>
      </c>
      <c r="H96" s="40" t="s">
        <v>291</v>
      </c>
      <c r="L96" s="15"/>
      <c r="M96" s="15"/>
    </row>
    <row r="97" spans="1:13" s="6" customFormat="1" ht="17" customHeight="1" x14ac:dyDescent="0.2">
      <c r="A97" s="174">
        <v>33634</v>
      </c>
      <c r="B97" s="174">
        <v>33953</v>
      </c>
      <c r="C97" s="175">
        <f>(B97-A97)</f>
        <v>319</v>
      </c>
      <c r="D97" s="85">
        <f>(B97-A97)/7</f>
        <v>45.571428571428569</v>
      </c>
      <c r="E97" s="29" t="s">
        <v>292</v>
      </c>
      <c r="F97" s="176"/>
      <c r="G97" s="8"/>
      <c r="H97" s="94"/>
      <c r="L97" s="15"/>
      <c r="M97" s="15"/>
    </row>
    <row r="98" spans="1:13" s="6" customFormat="1" ht="17" customHeight="1" x14ac:dyDescent="0.2">
      <c r="C98" s="8"/>
      <c r="D98" s="8"/>
      <c r="E98" s="8"/>
      <c r="F98" s="15"/>
      <c r="G98" s="15"/>
      <c r="H98" s="15"/>
      <c r="L98" s="15"/>
      <c r="M98" s="15"/>
    </row>
    <row r="99" spans="1:13" s="6" customFormat="1" ht="17" customHeight="1" x14ac:dyDescent="0.2">
      <c r="A99" s="15"/>
      <c r="B99" s="47" t="s">
        <v>293</v>
      </c>
      <c r="C99" s="47" t="s">
        <v>294</v>
      </c>
      <c r="E99" s="15"/>
      <c r="F99" s="15"/>
      <c r="G99" s="15"/>
      <c r="H99" s="15"/>
      <c r="L99" s="15"/>
      <c r="M99" s="15"/>
    </row>
    <row r="100" spans="1:13" s="6" customFormat="1" ht="17" customHeight="1" x14ac:dyDescent="0.2">
      <c r="A100" s="38" t="s">
        <v>295</v>
      </c>
      <c r="B100" s="8">
        <v>645</v>
      </c>
      <c r="C100" s="53" t="s">
        <v>296</v>
      </c>
      <c r="D100" s="15"/>
      <c r="E100" s="15"/>
      <c r="F100" s="94"/>
      <c r="G100" s="15"/>
      <c r="H100" s="15"/>
      <c r="L100" s="15"/>
      <c r="M100" s="15"/>
    </row>
    <row r="101" spans="1:13" s="6" customFormat="1" ht="17" customHeight="1" x14ac:dyDescent="0.2">
      <c r="A101" s="38" t="s">
        <v>297</v>
      </c>
      <c r="B101" s="8">
        <v>144</v>
      </c>
      <c r="C101" s="53" t="s">
        <v>298</v>
      </c>
      <c r="D101" s="15"/>
      <c r="E101" s="8"/>
      <c r="F101" s="8"/>
      <c r="G101" s="15"/>
      <c r="H101" s="15"/>
      <c r="L101" s="15"/>
      <c r="M101" s="15"/>
    </row>
    <row r="102" spans="1:13" s="6" customFormat="1" ht="18" customHeight="1" x14ac:dyDescent="0.2">
      <c r="A102" s="15"/>
      <c r="B102" s="30" t="s">
        <v>299</v>
      </c>
      <c r="C102" s="30" t="s">
        <v>299</v>
      </c>
      <c r="D102" s="15"/>
      <c r="E102" s="15"/>
      <c r="F102" s="8"/>
      <c r="G102" s="15"/>
      <c r="H102" s="15"/>
      <c r="L102" s="15"/>
      <c r="M102" s="15"/>
    </row>
    <row r="103" spans="1:13" s="16" customFormat="1" ht="18" customHeight="1" x14ac:dyDescent="0.2">
      <c r="A103" s="137" t="s">
        <v>300</v>
      </c>
      <c r="B103" s="177" t="s">
        <v>301</v>
      </c>
      <c r="C103" s="177" t="s">
        <v>302</v>
      </c>
      <c r="D103" s="177" t="s">
        <v>303</v>
      </c>
      <c r="E103" s="177" t="s">
        <v>304</v>
      </c>
      <c r="F103" s="177" t="s">
        <v>305</v>
      </c>
      <c r="G103" s="178"/>
    </row>
    <row r="104" spans="1:13" s="16" customFormat="1" ht="18" customHeight="1" x14ac:dyDescent="0.2">
      <c r="A104" s="46" t="s">
        <v>306</v>
      </c>
      <c r="B104" s="179">
        <v>450</v>
      </c>
      <c r="C104" s="180">
        <v>8.0000000000000007E-5</v>
      </c>
      <c r="D104" s="181">
        <f>B104*C104*1000</f>
        <v>36.000000000000007</v>
      </c>
      <c r="E104" s="179">
        <v>400</v>
      </c>
      <c r="F104" s="181">
        <f>D104*E104/1000</f>
        <v>14.400000000000004</v>
      </c>
      <c r="G104" s="178"/>
    </row>
    <row r="105" spans="1:13" s="16" customFormat="1" ht="18" customHeight="1" x14ac:dyDescent="0.2">
      <c r="A105" s="46" t="s">
        <v>307</v>
      </c>
      <c r="B105" s="179">
        <v>0</v>
      </c>
      <c r="C105" s="180">
        <v>8.0000000000000007E-5</v>
      </c>
      <c r="D105" s="181">
        <f>B105*C105*1000</f>
        <v>0</v>
      </c>
      <c r="E105" s="179">
        <v>0</v>
      </c>
      <c r="F105" s="181">
        <f>D105*E105/1000</f>
        <v>0</v>
      </c>
      <c r="G105" s="178"/>
    </row>
    <row r="106" spans="1:13" s="16" customFormat="1" ht="18" customHeight="1" x14ac:dyDescent="0.2">
      <c r="A106" s="46" t="s">
        <v>307</v>
      </c>
      <c r="B106" s="179">
        <v>0</v>
      </c>
      <c r="C106" s="180">
        <v>8.0000000000000007E-5</v>
      </c>
      <c r="D106" s="181">
        <f>B106*C106*1000</f>
        <v>0</v>
      </c>
      <c r="E106" s="179">
        <v>0</v>
      </c>
      <c r="F106" s="181">
        <f>D106*E106/1000</f>
        <v>0</v>
      </c>
      <c r="G106" s="182" t="s">
        <v>308</v>
      </c>
      <c r="I106" s="120"/>
      <c r="J106" s="120"/>
      <c r="K106" s="120"/>
    </row>
    <row r="107" spans="1:13" s="16" customFormat="1" ht="18" customHeight="1" x14ac:dyDescent="0.2">
      <c r="A107" s="46" t="s">
        <v>307</v>
      </c>
      <c r="B107" s="179">
        <v>0</v>
      </c>
      <c r="C107" s="180">
        <v>8.0000000000000007E-5</v>
      </c>
      <c r="D107" s="181">
        <f>B107*C107*1000</f>
        <v>0</v>
      </c>
      <c r="E107" s="179">
        <v>0</v>
      </c>
      <c r="F107" s="181">
        <f>D107*E107/1000</f>
        <v>0</v>
      </c>
      <c r="G107" s="183">
        <f>F104+F105+F106+F107</f>
        <v>14.400000000000004</v>
      </c>
      <c r="I107" s="120"/>
      <c r="J107" s="120"/>
      <c r="K107" s="120"/>
    </row>
    <row r="108" spans="1:13" s="16" customFormat="1" ht="18" customHeight="1" x14ac:dyDescent="0.2">
      <c r="A108" s="184" t="s">
        <v>309</v>
      </c>
      <c r="B108" s="177" t="s">
        <v>310</v>
      </c>
      <c r="C108" s="177" t="s">
        <v>311</v>
      </c>
      <c r="D108" s="177" t="s">
        <v>312</v>
      </c>
      <c r="E108" s="177" t="s">
        <v>304</v>
      </c>
      <c r="F108" s="177" t="s">
        <v>313</v>
      </c>
      <c r="G108" s="106"/>
    </row>
    <row r="109" spans="1:13" s="16" customFormat="1" ht="18" customHeight="1" x14ac:dyDescent="0.2">
      <c r="A109" s="46" t="s">
        <v>314</v>
      </c>
      <c r="B109" s="185">
        <v>1000</v>
      </c>
      <c r="C109" s="180">
        <v>8.0000000000000007E-5</v>
      </c>
      <c r="D109" s="186">
        <f>B109*C109*16</f>
        <v>1.28</v>
      </c>
      <c r="E109" s="179">
        <v>400</v>
      </c>
      <c r="F109" s="186">
        <f>D109*E109/16</f>
        <v>32</v>
      </c>
      <c r="G109" s="187"/>
    </row>
    <row r="110" spans="1:13" s="16" customFormat="1" ht="18" customHeight="1" x14ac:dyDescent="0.2">
      <c r="A110" s="46" t="s">
        <v>315</v>
      </c>
      <c r="B110" s="179">
        <v>0</v>
      </c>
      <c r="C110" s="180">
        <v>8.0000000000000007E-5</v>
      </c>
      <c r="D110" s="181">
        <f>B110*C110*16</f>
        <v>0</v>
      </c>
      <c r="E110" s="179"/>
      <c r="F110" s="181">
        <f>D110*E110/16</f>
        <v>0</v>
      </c>
      <c r="G110" s="106"/>
    </row>
    <row r="111" spans="1:13" s="16" customFormat="1" ht="18" customHeight="1" x14ac:dyDescent="0.2">
      <c r="B111" s="179">
        <v>0</v>
      </c>
      <c r="C111" s="180">
        <v>8.0000000000000007E-5</v>
      </c>
      <c r="D111" s="181">
        <f>B111*C111*16</f>
        <v>0</v>
      </c>
      <c r="E111" s="179"/>
      <c r="F111" s="181">
        <f>D111*E111/16</f>
        <v>0</v>
      </c>
      <c r="G111" s="106"/>
    </row>
    <row r="112" spans="1:13" s="16" customFormat="1" ht="18" customHeight="1" x14ac:dyDescent="0.2">
      <c r="B112" s="179">
        <v>0</v>
      </c>
      <c r="C112" s="180">
        <v>8.0000000000000007E-5</v>
      </c>
      <c r="D112" s="181">
        <f>B112*C112*16</f>
        <v>0</v>
      </c>
      <c r="E112" s="179"/>
      <c r="F112" s="181">
        <f>D112*E112/16</f>
        <v>0</v>
      </c>
      <c r="G112" s="182" t="s">
        <v>308</v>
      </c>
    </row>
    <row r="113" spans="1:8" s="16" customFormat="1" ht="18" customHeight="1" x14ac:dyDescent="0.2">
      <c r="B113" s="179">
        <v>0</v>
      </c>
      <c r="C113" s="180">
        <v>8.0000000000000007E-5</v>
      </c>
      <c r="D113" s="181">
        <f>B113*C113*16</f>
        <v>0</v>
      </c>
      <c r="E113" s="179"/>
      <c r="F113" s="181">
        <f>D113*E113/16</f>
        <v>0</v>
      </c>
      <c r="G113" s="183">
        <f>F109+F110+F111+F112+F113</f>
        <v>32</v>
      </c>
    </row>
    <row r="114" spans="1:8" s="16" customFormat="1" ht="18" customHeight="1" x14ac:dyDescent="0.2">
      <c r="A114" s="188" t="s">
        <v>316</v>
      </c>
      <c r="B114" s="189"/>
      <c r="C114" s="189"/>
      <c r="D114" s="189"/>
      <c r="E114" s="189"/>
      <c r="G114" s="187"/>
    </row>
    <row r="115" spans="1:8" s="16" customFormat="1" ht="18" customHeight="1" x14ac:dyDescent="0.2">
      <c r="A115" s="188" t="s">
        <v>317</v>
      </c>
      <c r="B115" s="189"/>
      <c r="C115" s="190" t="s">
        <v>318</v>
      </c>
      <c r="D115" s="191"/>
      <c r="E115" s="189"/>
      <c r="F115" s="192"/>
      <c r="G115" s="192"/>
    </row>
    <row r="116" spans="1:8" s="16" customFormat="1" ht="18" customHeight="1" x14ac:dyDescent="0.2">
      <c r="A116" s="190" t="s">
        <v>319</v>
      </c>
      <c r="B116" s="189"/>
      <c r="C116" s="190" t="s">
        <v>320</v>
      </c>
      <c r="D116" s="189"/>
      <c r="E116" s="189"/>
      <c r="F116" s="192"/>
      <c r="G116" s="192"/>
    </row>
    <row r="117" spans="1:8" s="16" customFormat="1" ht="18" customHeight="1" x14ac:dyDescent="0.2">
      <c r="A117" s="189"/>
      <c r="B117" s="189"/>
      <c r="C117" s="190" t="s">
        <v>42</v>
      </c>
      <c r="D117" s="189"/>
      <c r="E117" s="193" t="s">
        <v>321</v>
      </c>
      <c r="F117" s="192"/>
      <c r="G117" s="192"/>
    </row>
    <row r="118" spans="1:8" s="16" customFormat="1" ht="18" customHeight="1" x14ac:dyDescent="0.2">
      <c r="B118" s="190" t="s">
        <v>322</v>
      </c>
    </row>
    <row r="119" spans="1:8" s="16" customFormat="1" ht="18" customHeight="1" x14ac:dyDescent="0.2">
      <c r="B119" s="194" t="s">
        <v>323</v>
      </c>
    </row>
    <row r="120" spans="1:8" s="16" customFormat="1" ht="18" customHeight="1" x14ac:dyDescent="0.25">
      <c r="B120" s="195" t="s">
        <v>324</v>
      </c>
      <c r="H120" s="53" t="s">
        <v>10</v>
      </c>
    </row>
    <row r="121" spans="1:8" s="16" customFormat="1" ht="18" customHeight="1" x14ac:dyDescent="0.25">
      <c r="B121" s="195" t="s">
        <v>325</v>
      </c>
    </row>
    <row r="122" spans="1:8" s="16" customFormat="1" ht="18" customHeight="1" x14ac:dyDescent="0.25">
      <c r="B122" s="196" t="s">
        <v>326</v>
      </c>
    </row>
    <row r="123" spans="1:8" s="16" customFormat="1" ht="20" customHeight="1" x14ac:dyDescent="0.25">
      <c r="B123" s="196" t="s">
        <v>327</v>
      </c>
    </row>
    <row r="124" spans="1:8" s="16" customFormat="1" ht="20" customHeight="1" x14ac:dyDescent="0.25">
      <c r="B124" s="196" t="s">
        <v>328</v>
      </c>
    </row>
    <row r="125" spans="1:8" s="16" customFormat="1" ht="20" customHeight="1" x14ac:dyDescent="0.25">
      <c r="B125" s="196" t="s">
        <v>329</v>
      </c>
    </row>
    <row r="126" spans="1:8" s="16" customFormat="1" ht="20" customHeight="1" x14ac:dyDescent="0.25">
      <c r="B126" s="196" t="s">
        <v>330</v>
      </c>
    </row>
    <row r="127" spans="1:8" s="16" customFormat="1" ht="20" customHeight="1" x14ac:dyDescent="0.25">
      <c r="B127" s="195" t="s">
        <v>331</v>
      </c>
    </row>
    <row r="128" spans="1:8" s="16" customFormat="1" ht="20" customHeight="1" x14ac:dyDescent="0.25">
      <c r="B128" s="195" t="s">
        <v>332</v>
      </c>
    </row>
    <row r="129" spans="1:9" s="16" customFormat="1" ht="20" customHeight="1" x14ac:dyDescent="0.2">
      <c r="B129" s="120"/>
      <c r="C129" s="120"/>
      <c r="D129" s="120"/>
      <c r="E129" s="120"/>
      <c r="F129" s="120"/>
      <c r="G129" s="120"/>
      <c r="H129" s="120"/>
      <c r="I129" s="120"/>
    </row>
    <row r="130" spans="1:9" s="16" customFormat="1" ht="20" customHeight="1" x14ac:dyDescent="0.2">
      <c r="A130" s="197" t="s">
        <v>333</v>
      </c>
      <c r="B130" s="198"/>
      <c r="C130" s="198"/>
      <c r="D130" s="199"/>
      <c r="E130" s="199"/>
      <c r="F130" s="199"/>
      <c r="G130" s="10"/>
      <c r="H130" s="120"/>
      <c r="I130" s="120"/>
    </row>
    <row r="131" spans="1:9" s="6" customFormat="1" ht="20" customHeight="1" x14ac:dyDescent="0.2">
      <c r="A131" s="104" t="s">
        <v>334</v>
      </c>
      <c r="B131" s="104" t="s">
        <v>335</v>
      </c>
      <c r="C131" s="198"/>
      <c r="D131" s="73"/>
      <c r="E131" s="178"/>
      <c r="F131" s="117"/>
      <c r="G131" s="178"/>
      <c r="H131" s="120"/>
      <c r="I131" s="120"/>
    </row>
    <row r="132" spans="1:9" s="6" customFormat="1" ht="20" customHeight="1" x14ac:dyDescent="0.2">
      <c r="A132" s="46" t="s">
        <v>336</v>
      </c>
      <c r="B132" s="46" t="s">
        <v>337</v>
      </c>
      <c r="C132" s="46" t="s">
        <v>338</v>
      </c>
      <c r="D132" s="73"/>
      <c r="E132" s="178"/>
      <c r="F132" s="120"/>
      <c r="G132" s="120"/>
      <c r="H132" s="120"/>
      <c r="I132" s="120"/>
    </row>
    <row r="133" spans="1:9" s="6" customFormat="1" ht="20" customHeight="1" x14ac:dyDescent="0.2">
      <c r="A133" s="46" t="s">
        <v>339</v>
      </c>
      <c r="B133" s="46" t="s">
        <v>340</v>
      </c>
      <c r="C133" s="46" t="s">
        <v>341</v>
      </c>
      <c r="D133" s="120"/>
      <c r="E133" s="178"/>
      <c r="F133" s="120"/>
      <c r="G133" s="120"/>
      <c r="H133" s="120"/>
      <c r="I133" s="120"/>
    </row>
    <row r="134" spans="1:9" s="6" customFormat="1" ht="20" customHeight="1" x14ac:dyDescent="0.2">
      <c r="A134" s="46" t="s">
        <v>342</v>
      </c>
      <c r="B134" s="104" t="s">
        <v>343</v>
      </c>
      <c r="C134" s="16"/>
      <c r="D134" s="120"/>
      <c r="E134" s="120"/>
      <c r="F134" s="120"/>
      <c r="G134" s="120"/>
      <c r="H134" s="120"/>
      <c r="I134" s="120"/>
    </row>
    <row r="135" spans="1:9" s="6" customFormat="1" ht="18.5" customHeight="1" x14ac:dyDescent="0.2">
      <c r="A135" s="46" t="s">
        <v>344</v>
      </c>
      <c r="B135" s="46" t="s">
        <v>345</v>
      </c>
      <c r="C135" s="46" t="s">
        <v>346</v>
      </c>
      <c r="D135" s="120"/>
      <c r="E135" s="120"/>
      <c r="F135" s="120"/>
      <c r="G135" s="120"/>
      <c r="H135" s="120"/>
      <c r="I135" s="120"/>
    </row>
    <row r="136" spans="1:9" s="6" customFormat="1" ht="18.5" customHeight="1" x14ac:dyDescent="0.2">
      <c r="A136" s="46" t="s">
        <v>347</v>
      </c>
      <c r="B136" s="46" t="s">
        <v>348</v>
      </c>
      <c r="C136" s="46" t="s">
        <v>349</v>
      </c>
      <c r="D136" s="120"/>
      <c r="E136" s="120"/>
      <c r="F136" s="120"/>
      <c r="G136" s="120"/>
      <c r="H136" s="120"/>
      <c r="I136" s="120"/>
    </row>
    <row r="137" spans="1:9" s="6" customFormat="1" ht="18.5" customHeight="1" x14ac:dyDescent="0.2">
      <c r="A137" s="184" t="s">
        <v>184</v>
      </c>
      <c r="B137" s="16"/>
      <c r="C137" s="16"/>
      <c r="D137" s="120"/>
      <c r="E137" s="120"/>
      <c r="F137" s="120"/>
      <c r="G137" s="120"/>
      <c r="H137" s="120"/>
      <c r="I137" s="120"/>
    </row>
    <row r="138" spans="1:9" s="6" customFormat="1" ht="18.5" customHeight="1" x14ac:dyDescent="0.2">
      <c r="A138" s="46" t="s">
        <v>350</v>
      </c>
      <c r="B138" s="46" t="s">
        <v>351</v>
      </c>
      <c r="C138" s="16"/>
      <c r="D138" s="120"/>
      <c r="E138" s="120"/>
      <c r="F138" s="120"/>
      <c r="G138" s="120"/>
      <c r="H138" s="120"/>
      <c r="I138" s="120"/>
    </row>
    <row r="139" spans="1:9" s="6" customFormat="1" ht="18.5" customHeight="1" x14ac:dyDescent="0.2">
      <c r="A139" s="46" t="s">
        <v>352</v>
      </c>
      <c r="B139" s="46" t="s">
        <v>353</v>
      </c>
      <c r="C139" s="46" t="s">
        <v>354</v>
      </c>
      <c r="D139" s="120"/>
      <c r="E139" s="120"/>
      <c r="F139" s="120"/>
      <c r="G139" s="120"/>
      <c r="H139" s="120"/>
      <c r="I139" s="120"/>
    </row>
    <row r="140" spans="1:9" s="6" customFormat="1" ht="18.5" customHeight="1" x14ac:dyDescent="0.2">
      <c r="A140" s="46" t="s">
        <v>355</v>
      </c>
      <c r="B140" s="46" t="s">
        <v>356</v>
      </c>
      <c r="C140" s="46" t="s">
        <v>357</v>
      </c>
      <c r="D140" s="120"/>
      <c r="E140" s="120"/>
      <c r="F140" s="120"/>
      <c r="G140" s="120"/>
      <c r="H140" s="120"/>
      <c r="I140" s="120"/>
    </row>
    <row r="141" spans="1:9" s="6" customFormat="1" ht="17.5" customHeight="1" x14ac:dyDescent="0.2">
      <c r="A141" s="46" t="s">
        <v>358</v>
      </c>
      <c r="B141" s="46" t="s">
        <v>359</v>
      </c>
      <c r="C141" s="16"/>
    </row>
    <row r="142" spans="1:9" s="6" customFormat="1" ht="17.5" customHeight="1" x14ac:dyDescent="0.2">
      <c r="A142" s="46" t="s">
        <v>360</v>
      </c>
      <c r="B142" s="46" t="s">
        <v>361</v>
      </c>
      <c r="C142" s="46" t="s">
        <v>362</v>
      </c>
    </row>
    <row r="143" spans="1:9" s="6" customFormat="1" ht="17.5" customHeight="1" x14ac:dyDescent="0.2">
      <c r="A143" s="46" t="s">
        <v>363</v>
      </c>
      <c r="B143" s="46" t="s">
        <v>364</v>
      </c>
      <c r="C143" s="46" t="s">
        <v>365</v>
      </c>
    </row>
    <row r="144" spans="1:9" s="6" customFormat="1" ht="17.5" customHeight="1" x14ac:dyDescent="0.2">
      <c r="A144" s="184" t="s">
        <v>366</v>
      </c>
      <c r="B144" s="16"/>
      <c r="C144" s="16"/>
    </row>
    <row r="145" spans="1:4" s="6" customFormat="1" ht="17.5" customHeight="1" x14ac:dyDescent="0.2">
      <c r="A145" s="200" t="s">
        <v>367</v>
      </c>
      <c r="B145" s="46" t="s">
        <v>368</v>
      </c>
      <c r="C145" s="16"/>
    </row>
    <row r="146" spans="1:4" s="6" customFormat="1" ht="17.5" customHeight="1" x14ac:dyDescent="0.2">
      <c r="A146" s="200" t="s">
        <v>369</v>
      </c>
      <c r="B146" s="46" t="s">
        <v>370</v>
      </c>
      <c r="C146" s="16"/>
    </row>
    <row r="147" spans="1:4" s="6" customFormat="1" ht="17.5" customHeight="1" x14ac:dyDescent="0.2">
      <c r="A147" s="200" t="s">
        <v>170</v>
      </c>
      <c r="B147" s="46" t="s">
        <v>371</v>
      </c>
      <c r="C147" s="16"/>
    </row>
    <row r="148" spans="1:4" s="6" customFormat="1" ht="17.5" customHeight="1" x14ac:dyDescent="0.2">
      <c r="A148" s="200" t="s">
        <v>372</v>
      </c>
      <c r="B148" s="46" t="s">
        <v>373</v>
      </c>
      <c r="C148" s="16"/>
    </row>
    <row r="149" spans="1:4" s="6" customFormat="1" ht="17.5" customHeight="1" x14ac:dyDescent="0.2">
      <c r="A149" s="201" t="s">
        <v>170</v>
      </c>
      <c r="B149" s="46" t="s">
        <v>374</v>
      </c>
      <c r="C149" s="16"/>
    </row>
    <row r="150" spans="1:4" s="6" customFormat="1" ht="17.5" customHeight="1" x14ac:dyDescent="0.2">
      <c r="A150" s="201" t="s">
        <v>170</v>
      </c>
      <c r="B150" s="46" t="s">
        <v>375</v>
      </c>
      <c r="C150" s="16"/>
    </row>
    <row r="151" spans="1:4" s="6" customFormat="1" ht="17.5" customHeight="1" x14ac:dyDescent="0.2">
      <c r="A151" s="201" t="s">
        <v>170</v>
      </c>
      <c r="B151" s="46" t="s">
        <v>376</v>
      </c>
      <c r="C151" s="16"/>
    </row>
    <row r="152" spans="1:4" s="6" customFormat="1" ht="17.5" customHeight="1" x14ac:dyDescent="0.2">
      <c r="A152" s="184" t="s">
        <v>119</v>
      </c>
      <c r="B152" s="16"/>
      <c r="C152" s="202"/>
    </row>
    <row r="153" spans="1:4" s="6" customFormat="1" ht="17.5" customHeight="1" x14ac:dyDescent="0.2">
      <c r="A153" s="46" t="s">
        <v>377</v>
      </c>
      <c r="B153" s="46" t="s">
        <v>378</v>
      </c>
      <c r="C153" s="16"/>
      <c r="D153" s="118" t="s">
        <v>379</v>
      </c>
    </row>
    <row r="154" spans="1:4" s="6" customFormat="1" ht="17.5" customHeight="1" x14ac:dyDescent="0.2">
      <c r="A154" s="46" t="s">
        <v>380</v>
      </c>
      <c r="B154" s="46" t="s">
        <v>381</v>
      </c>
      <c r="C154" s="46" t="s">
        <v>382</v>
      </c>
    </row>
    <row r="155" spans="1:4" s="6" customFormat="1" ht="17.5" customHeight="1" x14ac:dyDescent="0.2">
      <c r="A155" s="46" t="s">
        <v>383</v>
      </c>
      <c r="B155" s="46" t="s">
        <v>384</v>
      </c>
      <c r="C155" s="46" t="s">
        <v>385</v>
      </c>
    </row>
    <row r="156" spans="1:4" s="6" customFormat="1" ht="17.5" customHeight="1" x14ac:dyDescent="0.2">
      <c r="A156" s="46" t="s">
        <v>386</v>
      </c>
      <c r="B156" s="46" t="s">
        <v>387</v>
      </c>
      <c r="C156" s="16"/>
    </row>
    <row r="157" spans="1:4" s="6" customFormat="1" ht="17.5" customHeight="1" x14ac:dyDescent="0.2">
      <c r="A157" s="46" t="s">
        <v>388</v>
      </c>
      <c r="B157" s="46" t="s">
        <v>389</v>
      </c>
      <c r="C157" s="46" t="s">
        <v>390</v>
      </c>
    </row>
    <row r="158" spans="1:4" s="6" customFormat="1" ht="17.5" customHeight="1" x14ac:dyDescent="0.2">
      <c r="A158" s="46" t="s">
        <v>391</v>
      </c>
      <c r="B158" s="46" t="s">
        <v>392</v>
      </c>
      <c r="C158" s="46" t="s">
        <v>393</v>
      </c>
    </row>
    <row r="159" spans="1:4" s="6" customFormat="1" ht="17.5" customHeight="1" x14ac:dyDescent="0.2">
      <c r="A159" s="46" t="s">
        <v>394</v>
      </c>
      <c r="B159" s="46" t="s">
        <v>395</v>
      </c>
      <c r="C159" s="16"/>
      <c r="D159" s="25">
        <v>25</v>
      </c>
    </row>
    <row r="160" spans="1:4" s="6" customFormat="1" ht="17.5" customHeight="1" x14ac:dyDescent="0.2">
      <c r="A160" s="16"/>
      <c r="B160" s="16"/>
      <c r="C160" s="16"/>
    </row>
  </sheetData>
  <hyperlinks>
    <hyperlink ref="D2" r:id="rId1"/>
  </hyperlinks>
  <pageMargins left="0.35416700000000001" right="0.35416700000000001" top="0.35416700000000001" bottom="0.3541670000000000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Conversion Calculator.xls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2017-02-24T22:29:02Z</dcterms:modified>
</cp:coreProperties>
</file>